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comments3.xml" ContentType="application/vnd.openxmlformats-officedocument.spreadsheetml.comments+xml"/>
  <Override PartName="/xl/threadedComments/threadedComment3.xml" ContentType="application/vnd.ms-excel.threadedcomments+xml"/>
  <Override PartName="/xl/comments4.xml" ContentType="application/vnd.openxmlformats-officedocument.spreadsheetml.comments+xml"/>
  <Override PartName="/xl/threadedComments/threadedComment4.xml" ContentType="application/vnd.ms-excel.threadedcomments+xml"/>
  <Override PartName="/xl/documenttasks/documenttask1.xml" ContentType="application/vnd.ms-excel.documenttask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updateLinks="always" defaultThemeVersion="166925"/>
  <mc:AlternateContent xmlns:mc="http://schemas.openxmlformats.org/markup-compatibility/2006">
    <mc:Choice Requires="x15">
      <x15ac:absPath xmlns:x15ac="http://schemas.microsoft.com/office/spreadsheetml/2010/11/ac" url="https://sbcssk12caus-my.sharepoint.com/personal/caryn_delatorre_sbcss_net/Documents/Desktop/"/>
    </mc:Choice>
  </mc:AlternateContent>
  <xr:revisionPtr revIDLastSave="1" documentId="8_{B199E57B-DE86-4C52-BAAC-22F90D46B619}" xr6:coauthVersionLast="47" xr6:coauthVersionMax="47" xr10:uidLastSave="{79C8E6C9-EB14-47EE-AD97-7D3D33BAF398}"/>
  <bookViews>
    <workbookView xWindow="-108" yWindow="-108" windowWidth="23256" windowHeight="13896" firstSheet="5" activeTab="5" xr2:uid="{CF995594-FF0B-435C-8C43-0A85F0761665}"/>
  </bookViews>
  <sheets>
    <sheet name="Overview" sheetId="1" state="hidden" r:id="rId1"/>
    <sheet name="2024 Details" sheetId="6" r:id="rId2"/>
    <sheet name="2024 Actuals" sheetId="8" r:id="rId3"/>
    <sheet name="2024 Condensed" sheetId="4" r:id="rId4"/>
    <sheet name="Comparison" sheetId="7" r:id="rId5"/>
    <sheet name="2026 Details" sheetId="12" r:id="rId6"/>
    <sheet name="2025 Details" sheetId="9" r:id="rId7"/>
    <sheet name="2025 Actuals" sheetId="10" r:id="rId8"/>
    <sheet name="2025 Condensed" sheetId="11" r:id="rId9"/>
  </sheets>
  <definedNames>
    <definedName name="_xlnm.Print_Area" localSheetId="1">'2024 Details'!$A$1:$V$116</definedName>
    <definedName name="_xlnm.Print_Titles" localSheetId="1">'2024 Details'!$A:$A,'2024 Details'!$1:$1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100" i="12" l="1"/>
  <c r="Q100" i="12"/>
  <c r="P100" i="12"/>
  <c r="O100" i="12"/>
  <c r="M100" i="12"/>
  <c r="C103" i="12"/>
  <c r="D116" i="12"/>
  <c r="C114" i="12" s="1"/>
  <c r="D115" i="12"/>
  <c r="C113" i="12" s="1"/>
  <c r="P94" i="12"/>
  <c r="O94" i="12"/>
  <c r="P93" i="12"/>
  <c r="O93" i="12"/>
  <c r="P92" i="12"/>
  <c r="O92" i="12"/>
  <c r="P91" i="12"/>
  <c r="O91" i="12"/>
  <c r="P90" i="12"/>
  <c r="O90" i="12"/>
  <c r="P89" i="12"/>
  <c r="O89" i="12"/>
  <c r="P88" i="12"/>
  <c r="O88" i="12"/>
  <c r="O78" i="12"/>
  <c r="P78" i="12"/>
  <c r="O82" i="12"/>
  <c r="P82" i="12"/>
  <c r="Q82" i="12" s="1"/>
  <c r="R82" i="12" s="1"/>
  <c r="E100" i="12"/>
  <c r="F100" i="12"/>
  <c r="G100" i="12"/>
  <c r="H100" i="12"/>
  <c r="I100" i="12"/>
  <c r="J100" i="12"/>
  <c r="K100" i="12"/>
  <c r="L100" i="12"/>
  <c r="C100" i="12"/>
  <c r="D41" i="12"/>
  <c r="O41" i="12" s="1"/>
  <c r="C8" i="8"/>
  <c r="B63" i="12"/>
  <c r="B62" i="12"/>
  <c r="P62" i="12" s="1"/>
  <c r="B61" i="12"/>
  <c r="B100" i="12" s="1"/>
  <c r="C152" i="12"/>
  <c r="C131" i="12"/>
  <c r="B157" i="12"/>
  <c r="C106" i="12" s="1"/>
  <c r="P97" i="12"/>
  <c r="O97" i="12"/>
  <c r="P96" i="12"/>
  <c r="O96" i="12"/>
  <c r="P95" i="12"/>
  <c r="O95" i="12"/>
  <c r="P87" i="12"/>
  <c r="O87" i="12"/>
  <c r="P15" i="12"/>
  <c r="O15" i="12"/>
  <c r="P14" i="12"/>
  <c r="O14" i="12"/>
  <c r="P13" i="12"/>
  <c r="O13" i="12"/>
  <c r="P25" i="12"/>
  <c r="O25" i="12"/>
  <c r="P52" i="12"/>
  <c r="O52" i="12"/>
  <c r="P51" i="12"/>
  <c r="O51" i="12"/>
  <c r="P50" i="12"/>
  <c r="O50" i="12"/>
  <c r="P49" i="12"/>
  <c r="O49" i="12"/>
  <c r="P48" i="12"/>
  <c r="O48" i="12"/>
  <c r="P47" i="12"/>
  <c r="O47" i="12"/>
  <c r="P46" i="12"/>
  <c r="O46" i="12"/>
  <c r="P39" i="12"/>
  <c r="O39" i="12"/>
  <c r="P38" i="12"/>
  <c r="O38" i="12"/>
  <c r="P37" i="12"/>
  <c r="O37" i="12"/>
  <c r="P36" i="12"/>
  <c r="O36" i="12"/>
  <c r="P35" i="12"/>
  <c r="O35" i="12"/>
  <c r="P22" i="12"/>
  <c r="O22" i="12"/>
  <c r="P21" i="12"/>
  <c r="O21" i="12"/>
  <c r="P23" i="12"/>
  <c r="O23" i="12"/>
  <c r="P20" i="12"/>
  <c r="O20" i="12"/>
  <c r="P19" i="12"/>
  <c r="O19" i="12"/>
  <c r="P18" i="12"/>
  <c r="O18" i="12"/>
  <c r="P4" i="12"/>
  <c r="O4" i="12"/>
  <c r="P69" i="12"/>
  <c r="O69" i="12"/>
  <c r="P68" i="12"/>
  <c r="O68" i="12"/>
  <c r="P67" i="12"/>
  <c r="O67" i="12"/>
  <c r="P64" i="12"/>
  <c r="O64" i="12"/>
  <c r="O63" i="12"/>
  <c r="O62" i="12"/>
  <c r="O61" i="12"/>
  <c r="P60" i="12"/>
  <c r="O60" i="12"/>
  <c r="P59" i="12"/>
  <c r="O59" i="12"/>
  <c r="P58" i="12"/>
  <c r="O58" i="12"/>
  <c r="P32" i="12"/>
  <c r="O32" i="12"/>
  <c r="P31" i="12"/>
  <c r="O31" i="12"/>
  <c r="P30" i="12"/>
  <c r="O30" i="12"/>
  <c r="P29" i="12"/>
  <c r="O29" i="12"/>
  <c r="P28" i="12"/>
  <c r="O28" i="12"/>
  <c r="P27" i="12"/>
  <c r="O27" i="12"/>
  <c r="P56" i="12"/>
  <c r="O56" i="12"/>
  <c r="P55" i="12"/>
  <c r="O55" i="12"/>
  <c r="P54" i="12"/>
  <c r="O54" i="12"/>
  <c r="P6" i="12"/>
  <c r="O6" i="12"/>
  <c r="P11" i="12"/>
  <c r="O11" i="12"/>
  <c r="P8" i="12"/>
  <c r="O8" i="12"/>
  <c r="P9" i="12"/>
  <c r="O9" i="12"/>
  <c r="P7" i="12"/>
  <c r="O7" i="12"/>
  <c r="P85" i="12"/>
  <c r="O85" i="12"/>
  <c r="P84" i="12"/>
  <c r="P83" i="12"/>
  <c r="O83" i="12"/>
  <c r="P81" i="12"/>
  <c r="O81" i="12"/>
  <c r="P44" i="12"/>
  <c r="O44" i="12"/>
  <c r="P43" i="12"/>
  <c r="O43" i="12"/>
  <c r="P42" i="12"/>
  <c r="O42" i="12"/>
  <c r="P41" i="12"/>
  <c r="P79" i="12"/>
  <c r="O79" i="12"/>
  <c r="P77" i="12"/>
  <c r="O77" i="12"/>
  <c r="P76" i="12"/>
  <c r="O76" i="12"/>
  <c r="P75" i="12"/>
  <c r="O75" i="12"/>
  <c r="P74" i="12"/>
  <c r="O74" i="12"/>
  <c r="P73" i="12"/>
  <c r="O73" i="12"/>
  <c r="P72" i="12"/>
  <c r="O72" i="12"/>
  <c r="P71" i="12"/>
  <c r="O71" i="12"/>
  <c r="Q88" i="12" l="1"/>
  <c r="R88" i="12" s="1"/>
  <c r="Q92" i="12"/>
  <c r="R92" i="12" s="1"/>
  <c r="Q91" i="12"/>
  <c r="R91" i="12" s="1"/>
  <c r="Q93" i="12"/>
  <c r="R93" i="12" s="1"/>
  <c r="Q89" i="12"/>
  <c r="R89" i="12" s="1"/>
  <c r="Q90" i="12"/>
  <c r="R90" i="12" s="1"/>
  <c r="Q94" i="12"/>
  <c r="R94" i="12" s="1"/>
  <c r="D114" i="12"/>
  <c r="Q78" i="12"/>
  <c r="R78" i="12" s="1"/>
  <c r="D100" i="12"/>
  <c r="P61" i="12"/>
  <c r="Q61" i="12" s="1"/>
  <c r="R61" i="12" s="1"/>
  <c r="Q13" i="12"/>
  <c r="R13" i="12" s="1"/>
  <c r="Q95" i="12"/>
  <c r="R95" i="12" s="1"/>
  <c r="Q41" i="12"/>
  <c r="R41" i="12" s="1"/>
  <c r="Q7" i="12"/>
  <c r="R7" i="12" s="1"/>
  <c r="Q4" i="12"/>
  <c r="R4" i="12" s="1"/>
  <c r="Q6" i="12"/>
  <c r="R6" i="12" s="1"/>
  <c r="Q79" i="12"/>
  <c r="R79" i="12" s="1"/>
  <c r="Q8" i="12"/>
  <c r="R8" i="12" s="1"/>
  <c r="Q55" i="12"/>
  <c r="R55" i="12" s="1"/>
  <c r="Q58" i="12"/>
  <c r="R58" i="12" s="1"/>
  <c r="Q30" i="12"/>
  <c r="R30" i="12" s="1"/>
  <c r="Q59" i="12"/>
  <c r="R59" i="12" s="1"/>
  <c r="Q69" i="12"/>
  <c r="R69" i="12" s="1"/>
  <c r="Q51" i="12"/>
  <c r="R51" i="12" s="1"/>
  <c r="Q14" i="12"/>
  <c r="R14" i="12" s="1"/>
  <c r="Q96" i="12"/>
  <c r="R96" i="12" s="1"/>
  <c r="Q76" i="12"/>
  <c r="R76" i="12" s="1"/>
  <c r="Q75" i="12"/>
  <c r="R75" i="12" s="1"/>
  <c r="Q72" i="12"/>
  <c r="R72" i="12" s="1"/>
  <c r="Q73" i="12"/>
  <c r="R73" i="12" s="1"/>
  <c r="Q77" i="12"/>
  <c r="R77" i="12" s="1"/>
  <c r="Q67" i="12"/>
  <c r="R67" i="12" s="1"/>
  <c r="Q35" i="12"/>
  <c r="R35" i="12" s="1"/>
  <c r="Q39" i="12"/>
  <c r="R39" i="12" s="1"/>
  <c r="Q49" i="12"/>
  <c r="R49" i="12" s="1"/>
  <c r="Q25" i="12"/>
  <c r="R25" i="12" s="1"/>
  <c r="Q87" i="12"/>
  <c r="R87" i="12" s="1"/>
  <c r="Q68" i="12"/>
  <c r="R68" i="12" s="1"/>
  <c r="Q27" i="12"/>
  <c r="R27" i="12" s="1"/>
  <c r="Q32" i="12"/>
  <c r="R32" i="12" s="1"/>
  <c r="Q97" i="12"/>
  <c r="R97" i="12" s="1"/>
  <c r="Q11" i="12"/>
  <c r="R11" i="12" s="1"/>
  <c r="Q29" i="12"/>
  <c r="R29" i="12" s="1"/>
  <c r="Q19" i="12"/>
  <c r="R19" i="12" s="1"/>
  <c r="Q74" i="12"/>
  <c r="R74" i="12" s="1"/>
  <c r="Q9" i="12"/>
  <c r="R9" i="12" s="1"/>
  <c r="Q31" i="12"/>
  <c r="R31" i="12" s="1"/>
  <c r="P63" i="12"/>
  <c r="Q20" i="12"/>
  <c r="R20" i="12" s="1"/>
  <c r="Q47" i="12"/>
  <c r="R47" i="12" s="1"/>
  <c r="Q52" i="12"/>
  <c r="R52" i="12" s="1"/>
  <c r="Q15" i="12"/>
  <c r="R15" i="12" s="1"/>
  <c r="Q81" i="12"/>
  <c r="R81" i="12" s="1"/>
  <c r="Q85" i="12"/>
  <c r="R85" i="12" s="1"/>
  <c r="Q46" i="12"/>
  <c r="R46" i="12" s="1"/>
  <c r="Q50" i="12"/>
  <c r="R50" i="12" s="1"/>
  <c r="Q48" i="12"/>
  <c r="R48" i="12" s="1"/>
  <c r="Q37" i="12"/>
  <c r="R37" i="12" s="1"/>
  <c r="Q38" i="12"/>
  <c r="R38" i="12" s="1"/>
  <c r="Q36" i="12"/>
  <c r="R36" i="12" s="1"/>
  <c r="Q23" i="12"/>
  <c r="R23" i="12" s="1"/>
  <c r="Q22" i="12"/>
  <c r="R22" i="12" s="1"/>
  <c r="Q62" i="12"/>
  <c r="R62" i="12" s="1"/>
  <c r="Q64" i="12"/>
  <c r="R64" i="12" s="1"/>
  <c r="Q28" i="12"/>
  <c r="R28" i="12" s="1"/>
  <c r="Q54" i="12"/>
  <c r="R54" i="12" s="1"/>
  <c r="Q83" i="12"/>
  <c r="R83" i="12" s="1"/>
  <c r="Q42" i="12"/>
  <c r="R42" i="12" s="1"/>
  <c r="Q44" i="12"/>
  <c r="R44" i="12" s="1"/>
  <c r="Q43" i="12"/>
  <c r="R43" i="12" s="1"/>
  <c r="Q18" i="12"/>
  <c r="R18" i="12" s="1"/>
  <c r="Q60" i="12"/>
  <c r="R60" i="12" s="1"/>
  <c r="Q21" i="12"/>
  <c r="R21" i="12" s="1"/>
  <c r="Q56" i="12"/>
  <c r="R56" i="12" s="1"/>
  <c r="O84" i="12"/>
  <c r="Q84" i="12" s="1"/>
  <c r="R84" i="12" s="1"/>
  <c r="Q71" i="12"/>
  <c r="B155" i="12"/>
  <c r="D92" i="9"/>
  <c r="E92" i="9"/>
  <c r="F92" i="9"/>
  <c r="G92" i="9"/>
  <c r="H92" i="9"/>
  <c r="I92" i="9"/>
  <c r="J92" i="9"/>
  <c r="K92" i="9"/>
  <c r="L92" i="9"/>
  <c r="M92" i="9"/>
  <c r="N92" i="9"/>
  <c r="O92" i="9"/>
  <c r="C92" i="9"/>
  <c r="S92" i="9"/>
  <c r="R89" i="9"/>
  <c r="S89" i="9" s="1"/>
  <c r="T89" i="9" s="1"/>
  <c r="Q89" i="9"/>
  <c r="R88" i="9"/>
  <c r="S88" i="9" s="1"/>
  <c r="T88" i="9" s="1"/>
  <c r="Q88" i="9"/>
  <c r="R87" i="9"/>
  <c r="S87" i="9" s="1"/>
  <c r="T87" i="9" s="1"/>
  <c r="Q87" i="9"/>
  <c r="R86" i="9"/>
  <c r="S86" i="9" s="1"/>
  <c r="T86" i="9" s="1"/>
  <c r="Q86" i="9"/>
  <c r="R85" i="9"/>
  <c r="S85" i="9" s="1"/>
  <c r="T85" i="9" s="1"/>
  <c r="Q85" i="9"/>
  <c r="B92" i="9"/>
  <c r="B46" i="9"/>
  <c r="O44" i="9"/>
  <c r="N30" i="9"/>
  <c r="Q80" i="9"/>
  <c r="R80" i="9"/>
  <c r="H16" i="10"/>
  <c r="H13" i="10"/>
  <c r="H12" i="10"/>
  <c r="K124" i="9"/>
  <c r="Q82" i="9"/>
  <c r="R82" i="9"/>
  <c r="O51" i="9"/>
  <c r="Q51" i="9" s="1"/>
  <c r="R51" i="9"/>
  <c r="O37" i="9"/>
  <c r="O21" i="9"/>
  <c r="O12" i="9"/>
  <c r="B104" i="12" l="1"/>
  <c r="B103" i="12"/>
  <c r="Q63" i="12"/>
  <c r="R63" i="12" s="1"/>
  <c r="R71" i="12"/>
  <c r="C104" i="12"/>
  <c r="S80" i="9"/>
  <c r="T80" i="9" s="1"/>
  <c r="S51" i="9"/>
  <c r="T51" i="9" s="1"/>
  <c r="S82" i="9"/>
  <c r="T82" i="9" s="1"/>
  <c r="Q45" i="9"/>
  <c r="C183" i="9"/>
  <c r="Q74" i="9"/>
  <c r="R74" i="9"/>
  <c r="Q73" i="9"/>
  <c r="R73" i="9"/>
  <c r="N43" i="9"/>
  <c r="N176" i="9"/>
  <c r="N177" i="9"/>
  <c r="N178" i="9"/>
  <c r="N179" i="9"/>
  <c r="N180" i="9"/>
  <c r="N181" i="9"/>
  <c r="N182" i="9"/>
  <c r="N184" i="9"/>
  <c r="N186" i="9"/>
  <c r="N188" i="9"/>
  <c r="N189" i="9"/>
  <c r="N190" i="9"/>
  <c r="N192" i="9"/>
  <c r="N193" i="9"/>
  <c r="N194" i="9"/>
  <c r="N175" i="9"/>
  <c r="Q21" i="9"/>
  <c r="S99" i="9"/>
  <c r="S100" i="9"/>
  <c r="S101" i="9"/>
  <c r="S102" i="9"/>
  <c r="S103" i="9"/>
  <c r="S104" i="9"/>
  <c r="S98" i="9"/>
  <c r="C191" i="9"/>
  <c r="N191" i="9" s="1"/>
  <c r="C187" i="9"/>
  <c r="N187" i="9" s="1"/>
  <c r="C185" i="9"/>
  <c r="N185" i="9" s="1"/>
  <c r="B183" i="9"/>
  <c r="B195" i="9" s="1"/>
  <c r="N14" i="9"/>
  <c r="N55" i="9"/>
  <c r="N58" i="9"/>
  <c r="N59" i="9"/>
  <c r="N75" i="9"/>
  <c r="N32" i="9"/>
  <c r="M32" i="9"/>
  <c r="L10" i="9"/>
  <c r="Q31" i="9"/>
  <c r="R31" i="9"/>
  <c r="L107" i="9"/>
  <c r="S107" i="9" s="1"/>
  <c r="M105" i="9"/>
  <c r="K105" i="9"/>
  <c r="L105" i="9"/>
  <c r="N105" i="9"/>
  <c r="O105" i="9"/>
  <c r="P105" i="9"/>
  <c r="Q105" i="9"/>
  <c r="R105" i="9"/>
  <c r="J105" i="9"/>
  <c r="B119" i="9"/>
  <c r="C126" i="9" s="1"/>
  <c r="Q50" i="9"/>
  <c r="R50" i="9"/>
  <c r="C108" i="9"/>
  <c r="B108" i="9" s="1"/>
  <c r="C109" i="9"/>
  <c r="B109" i="9" s="1"/>
  <c r="M153" i="9"/>
  <c r="C107" i="9"/>
  <c r="B107" i="9" s="1"/>
  <c r="C147" i="9"/>
  <c r="C115" i="9"/>
  <c r="Q5" i="9"/>
  <c r="R5" i="9"/>
  <c r="R64" i="9"/>
  <c r="Q64" i="9"/>
  <c r="R28" i="9"/>
  <c r="Q28" i="9"/>
  <c r="R27" i="9"/>
  <c r="Q27" i="9"/>
  <c r="R26" i="9"/>
  <c r="Q26" i="9"/>
  <c r="R25" i="9"/>
  <c r="Q25" i="9"/>
  <c r="R57" i="9"/>
  <c r="R56" i="9"/>
  <c r="Q57" i="9"/>
  <c r="Q56" i="9"/>
  <c r="R62" i="9"/>
  <c r="R61" i="9"/>
  <c r="Q62" i="9"/>
  <c r="Q61" i="9"/>
  <c r="H14" i="10"/>
  <c r="B106" i="9"/>
  <c r="B110" i="9"/>
  <c r="B105" i="9"/>
  <c r="R70" i="9"/>
  <c r="Q70" i="9"/>
  <c r="Q11" i="9"/>
  <c r="B105" i="12" l="1"/>
  <c r="B107" i="12" s="1"/>
  <c r="C105" i="12"/>
  <c r="C107" i="12" s="1"/>
  <c r="S73" i="9"/>
  <c r="T73" i="9" s="1"/>
  <c r="S74" i="9"/>
  <c r="T74" i="9" s="1"/>
  <c r="N183" i="9"/>
  <c r="C195" i="9"/>
  <c r="N195" i="9" s="1"/>
  <c r="S105" i="9"/>
  <c r="S31" i="9"/>
  <c r="T31" i="9" s="1"/>
  <c r="H3" i="10"/>
  <c r="S57" i="9"/>
  <c r="T57" i="9" s="1"/>
  <c r="S50" i="9"/>
  <c r="T50" i="9" s="1"/>
  <c r="S5" i="9"/>
  <c r="T5" i="9" s="1"/>
  <c r="B150" i="9"/>
  <c r="S64" i="9"/>
  <c r="T64" i="9" s="1"/>
  <c r="S62" i="9"/>
  <c r="T62" i="9" s="1"/>
  <c r="S56" i="9"/>
  <c r="T56" i="9" s="1"/>
  <c r="S61" i="9"/>
  <c r="T61" i="9" s="1"/>
  <c r="S25" i="9"/>
  <c r="T25" i="9" s="1"/>
  <c r="S26" i="9"/>
  <c r="T26" i="9" s="1"/>
  <c r="S27" i="9"/>
  <c r="T27" i="9" s="1"/>
  <c r="S28" i="9"/>
  <c r="T28" i="9" s="1"/>
  <c r="B152" i="9"/>
  <c r="B98" i="9" s="1"/>
  <c r="S70" i="9"/>
  <c r="T70" i="9" s="1"/>
  <c r="Q71" i="9"/>
  <c r="R71" i="9"/>
  <c r="R11" i="9"/>
  <c r="S11" i="9" s="1"/>
  <c r="T11" i="9" s="1"/>
  <c r="B31" i="7"/>
  <c r="B11" i="7"/>
  <c r="B10" i="7"/>
  <c r="D16" i="7"/>
  <c r="H6" i="10"/>
  <c r="H15" i="10"/>
  <c r="H11" i="10"/>
  <c r="H10" i="10"/>
  <c r="H7" i="10"/>
  <c r="H5" i="10"/>
  <c r="H4" i="10"/>
  <c r="G16" i="10"/>
  <c r="G15" i="10"/>
  <c r="G14" i="10"/>
  <c r="G13" i="10"/>
  <c r="G12" i="10"/>
  <c r="G11" i="10"/>
  <c r="G10" i="10"/>
  <c r="G9" i="10"/>
  <c r="G8" i="10"/>
  <c r="G7" i="10"/>
  <c r="G6" i="10"/>
  <c r="G5" i="10"/>
  <c r="G4" i="10"/>
  <c r="G3" i="10"/>
  <c r="C8" i="10"/>
  <c r="C6" i="10" s="1"/>
  <c r="H33" i="10" s="1"/>
  <c r="C19" i="10"/>
  <c r="J23" i="10"/>
  <c r="J24" i="10"/>
  <c r="J25" i="10"/>
  <c r="J26" i="10"/>
  <c r="J27" i="10"/>
  <c r="J28" i="10"/>
  <c r="J29" i="10"/>
  <c r="H31" i="10"/>
  <c r="I31" i="10"/>
  <c r="K31" i="10"/>
  <c r="D51" i="10"/>
  <c r="H53" i="10"/>
  <c r="H57" i="10" s="1"/>
  <c r="K57" i="10"/>
  <c r="N58" i="10"/>
  <c r="K61" i="10"/>
  <c r="K66" i="10" s="1"/>
  <c r="H66" i="10"/>
  <c r="Q3" i="9"/>
  <c r="R3" i="9"/>
  <c r="Q4" i="9"/>
  <c r="R4" i="9"/>
  <c r="Q7" i="9"/>
  <c r="R7" i="9"/>
  <c r="Q8" i="9"/>
  <c r="R8" i="9"/>
  <c r="Q9" i="9"/>
  <c r="R9" i="9"/>
  <c r="Q10" i="9"/>
  <c r="R10" i="9"/>
  <c r="Q12" i="9"/>
  <c r="R12" i="9"/>
  <c r="Q14" i="9"/>
  <c r="R14" i="9"/>
  <c r="Q15" i="9"/>
  <c r="R15" i="9"/>
  <c r="Q16" i="9"/>
  <c r="R16" i="9"/>
  <c r="Q17" i="9"/>
  <c r="R17" i="9"/>
  <c r="Q19" i="9"/>
  <c r="R19" i="9"/>
  <c r="Q20" i="9"/>
  <c r="R20" i="9"/>
  <c r="R21" i="9"/>
  <c r="S21" i="9" s="1"/>
  <c r="T21" i="9" s="1"/>
  <c r="Q22" i="9"/>
  <c r="R22" i="9"/>
  <c r="Q24" i="9"/>
  <c r="I6" i="10" s="1"/>
  <c r="Q30" i="9"/>
  <c r="R30" i="9"/>
  <c r="Q32" i="9"/>
  <c r="R32" i="9"/>
  <c r="Q34" i="9"/>
  <c r="R34" i="9"/>
  <c r="Q35" i="9"/>
  <c r="R35" i="9"/>
  <c r="Q36" i="9"/>
  <c r="R36" i="9"/>
  <c r="Q37" i="9"/>
  <c r="R37" i="9"/>
  <c r="Q38" i="9"/>
  <c r="R38" i="9"/>
  <c r="R39" i="9"/>
  <c r="Q39" i="9"/>
  <c r="Q41" i="9"/>
  <c r="R41" i="9"/>
  <c r="Q42" i="9"/>
  <c r="R42" i="9"/>
  <c r="Q43" i="9"/>
  <c r="R43" i="9"/>
  <c r="R44" i="9"/>
  <c r="Q44" i="9"/>
  <c r="R45" i="9"/>
  <c r="Q46" i="9"/>
  <c r="R46" i="9"/>
  <c r="Q47" i="9"/>
  <c r="R47" i="9"/>
  <c r="Q49" i="9"/>
  <c r="I10" i="10" s="1"/>
  <c r="R49" i="9"/>
  <c r="Q53" i="9"/>
  <c r="I11" i="10" s="1"/>
  <c r="R53" i="9"/>
  <c r="Q55" i="9"/>
  <c r="R55" i="9"/>
  <c r="Q58" i="9"/>
  <c r="R58" i="9"/>
  <c r="Q59" i="9"/>
  <c r="R59" i="9"/>
  <c r="Q60" i="9"/>
  <c r="R60" i="9"/>
  <c r="Q6" i="9"/>
  <c r="R6" i="9"/>
  <c r="Q65" i="9"/>
  <c r="R65" i="9"/>
  <c r="Q66" i="9"/>
  <c r="R66" i="9"/>
  <c r="Q67" i="9"/>
  <c r="R67" i="9"/>
  <c r="Q68" i="9"/>
  <c r="R68" i="9"/>
  <c r="Q72" i="9"/>
  <c r="R72" i="9"/>
  <c r="Q75" i="9"/>
  <c r="R75" i="9"/>
  <c r="Q76" i="9"/>
  <c r="R76" i="9"/>
  <c r="Q78" i="9"/>
  <c r="I15" i="10" s="1"/>
  <c r="R78" i="9"/>
  <c r="Q81" i="9"/>
  <c r="R81" i="9"/>
  <c r="Q84" i="9"/>
  <c r="R84" i="9"/>
  <c r="D113" i="12" l="1"/>
  <c r="K120" i="9"/>
  <c r="K129" i="9" s="1"/>
  <c r="C98" i="9" s="1"/>
  <c r="Q92" i="9"/>
  <c r="R24" i="9"/>
  <c r="S24" i="9" s="1"/>
  <c r="T24" i="9" s="1"/>
  <c r="B95" i="9"/>
  <c r="J11" i="10"/>
  <c r="S36" i="9"/>
  <c r="T36" i="9" s="1"/>
  <c r="S45" i="9"/>
  <c r="T45" i="9" s="1"/>
  <c r="S71" i="9"/>
  <c r="T71" i="9" s="1"/>
  <c r="S41" i="9"/>
  <c r="T41" i="9" s="1"/>
  <c r="S59" i="9"/>
  <c r="T59" i="9" s="1"/>
  <c r="S34" i="9"/>
  <c r="T34" i="9" s="1"/>
  <c r="S22" i="9"/>
  <c r="T22" i="9" s="1"/>
  <c r="J6" i="10"/>
  <c r="S72" i="9"/>
  <c r="T72" i="9" s="1"/>
  <c r="S65" i="9"/>
  <c r="T65" i="9" s="1"/>
  <c r="S58" i="9"/>
  <c r="T58" i="9" s="1"/>
  <c r="I9" i="10"/>
  <c r="S44" i="9"/>
  <c r="T44" i="9" s="1"/>
  <c r="S81" i="9"/>
  <c r="T81" i="9" s="1"/>
  <c r="S78" i="9"/>
  <c r="T78" i="9" s="1"/>
  <c r="S20" i="9"/>
  <c r="T20" i="9" s="1"/>
  <c r="S15" i="9"/>
  <c r="T15" i="9" s="1"/>
  <c r="S3" i="9"/>
  <c r="T3" i="9" s="1"/>
  <c r="S38" i="9"/>
  <c r="T38" i="9" s="1"/>
  <c r="S35" i="9"/>
  <c r="T35" i="9" s="1"/>
  <c r="S67" i="9"/>
  <c r="T67" i="9" s="1"/>
  <c r="S60" i="9"/>
  <c r="T60" i="9" s="1"/>
  <c r="S55" i="9"/>
  <c r="T55" i="9" s="1"/>
  <c r="S46" i="9"/>
  <c r="T46" i="9" s="1"/>
  <c r="S19" i="9"/>
  <c r="T19" i="9" s="1"/>
  <c r="S14" i="9"/>
  <c r="T14" i="9" s="1"/>
  <c r="S8" i="9"/>
  <c r="T8" i="9" s="1"/>
  <c r="I3" i="10"/>
  <c r="J3" i="10" s="1"/>
  <c r="S84" i="9"/>
  <c r="T84" i="9" s="1"/>
  <c r="S39" i="9"/>
  <c r="T39" i="9" s="1"/>
  <c r="I5" i="10"/>
  <c r="J5" i="10" s="1"/>
  <c r="I4" i="10"/>
  <c r="J4" i="10" s="1"/>
  <c r="I16" i="10"/>
  <c r="J16" i="10" s="1"/>
  <c r="I12" i="10"/>
  <c r="J12" i="10" s="1"/>
  <c r="S32" i="9"/>
  <c r="T32" i="9" s="1"/>
  <c r="S17" i="9"/>
  <c r="T17" i="9" s="1"/>
  <c r="I14" i="10"/>
  <c r="J14" i="10" s="1"/>
  <c r="S16" i="9"/>
  <c r="T16" i="9" s="1"/>
  <c r="S10" i="9"/>
  <c r="T10" i="9" s="1"/>
  <c r="S4" i="9"/>
  <c r="T4" i="9" s="1"/>
  <c r="S76" i="9"/>
  <c r="T76" i="9" s="1"/>
  <c r="S49" i="9"/>
  <c r="T49" i="9" s="1"/>
  <c r="I7" i="10"/>
  <c r="J7" i="10" s="1"/>
  <c r="H9" i="10"/>
  <c r="S6" i="9"/>
  <c r="T6" i="9" s="1"/>
  <c r="S66" i="9"/>
  <c r="T66" i="9" s="1"/>
  <c r="S53" i="9"/>
  <c r="T53" i="9" s="1"/>
  <c r="S7" i="9"/>
  <c r="T7" i="9" s="1"/>
  <c r="J10" i="10"/>
  <c r="I8" i="10"/>
  <c r="S47" i="9"/>
  <c r="T47" i="9" s="1"/>
  <c r="H8" i="10"/>
  <c r="S68" i="9"/>
  <c r="T68" i="9" s="1"/>
  <c r="S43" i="9"/>
  <c r="T43" i="9" s="1"/>
  <c r="S37" i="9"/>
  <c r="T37" i="9" s="1"/>
  <c r="S9" i="9"/>
  <c r="T9" i="9" s="1"/>
  <c r="I13" i="10"/>
  <c r="J13" i="10" s="1"/>
  <c r="S30" i="9"/>
  <c r="T30" i="9" s="1"/>
  <c r="J15" i="10"/>
  <c r="S75" i="9"/>
  <c r="T75" i="9" s="1"/>
  <c r="S42" i="9"/>
  <c r="T42" i="9" s="1"/>
  <c r="S12" i="9"/>
  <c r="T12" i="9" s="1"/>
  <c r="J31" i="10"/>
  <c r="H35" i="10"/>
  <c r="D117" i="12" l="1"/>
  <c r="E117" i="12" s="1"/>
  <c r="E120" i="12"/>
  <c r="E119" i="12"/>
  <c r="B96" i="9"/>
  <c r="C4" i="10"/>
  <c r="C5" i="10" s="1"/>
  <c r="C95" i="9"/>
  <c r="R92" i="9"/>
  <c r="H17" i="10"/>
  <c r="J9" i="10"/>
  <c r="I17" i="10"/>
  <c r="T92" i="9"/>
  <c r="J8" i="10"/>
  <c r="B97" i="9" l="1"/>
  <c r="D3" i="10"/>
  <c r="E53" i="10" s="1"/>
  <c r="C96" i="9"/>
  <c r="C97" i="9" s="1"/>
  <c r="C99" i="9" s="1"/>
  <c r="J17" i="10"/>
  <c r="B99" i="9" l="1"/>
  <c r="D99" i="9" l="1"/>
  <c r="D100" i="9" s="1"/>
  <c r="B106" i="7"/>
  <c r="B107" i="7" s="1"/>
  <c r="B108" i="7" s="1"/>
  <c r="D34" i="7"/>
  <c r="O29" i="6"/>
  <c r="V67" i="6"/>
  <c r="U67" i="6"/>
  <c r="T67" i="6"/>
  <c r="S67" i="6"/>
  <c r="N67" i="6"/>
  <c r="D85" i="6" l="1"/>
  <c r="E85" i="6"/>
  <c r="F85" i="6"/>
  <c r="G85" i="6"/>
  <c r="H85" i="6"/>
  <c r="I85" i="6"/>
  <c r="O35" i="6"/>
  <c r="O85" i="6" s="1"/>
  <c r="C17" i="6" l="1"/>
  <c r="C85" i="6" s="1"/>
  <c r="S17" i="6" l="1"/>
  <c r="M9" i="6"/>
  <c r="N8" i="6"/>
  <c r="N85" i="6" s="1"/>
  <c r="S73" i="6"/>
  <c r="N29" i="6"/>
  <c r="T66" i="6"/>
  <c r="S66" i="6"/>
  <c r="M29" i="6"/>
  <c r="B20" i="8"/>
  <c r="K32" i="8"/>
  <c r="I32" i="8"/>
  <c r="J30" i="8"/>
  <c r="J29" i="8"/>
  <c r="J28" i="8"/>
  <c r="J27" i="8"/>
  <c r="J26" i="8"/>
  <c r="J25" i="8"/>
  <c r="J24" i="8"/>
  <c r="H32" i="8"/>
  <c r="M85" i="6" l="1"/>
  <c r="J32" i="8"/>
  <c r="U66" i="6"/>
  <c r="V66" i="6" s="1"/>
  <c r="L70" i="6"/>
  <c r="K62" i="8"/>
  <c r="K67" i="8"/>
  <c r="H67" i="8"/>
  <c r="T17" i="6"/>
  <c r="U17" i="6" s="1"/>
  <c r="V17" i="6" s="1"/>
  <c r="B34" i="6"/>
  <c r="J29" i="6"/>
  <c r="S80" i="6"/>
  <c r="T80" i="6"/>
  <c r="S81" i="6"/>
  <c r="T81" i="6"/>
  <c r="T22" i="6"/>
  <c r="S22" i="6"/>
  <c r="S14" i="6"/>
  <c r="L8" i="6"/>
  <c r="L85" i="6" l="1"/>
  <c r="U81" i="6"/>
  <c r="V81" i="6" s="1"/>
  <c r="U80" i="6"/>
  <c r="V80" i="6" s="1"/>
  <c r="U22" i="6"/>
  <c r="V22" i="6" s="1"/>
  <c r="B43" i="4"/>
  <c r="B44" i="4"/>
  <c r="B45" i="4"/>
  <c r="B33" i="4"/>
  <c r="B34" i="4"/>
  <c r="B35" i="4"/>
  <c r="B36" i="4"/>
  <c r="B37" i="4"/>
  <c r="A33" i="4"/>
  <c r="A34" i="4"/>
  <c r="A35" i="4"/>
  <c r="A36" i="4"/>
  <c r="A37" i="4"/>
  <c r="P44" i="6"/>
  <c r="P41" i="6"/>
  <c r="P42" i="6"/>
  <c r="P26" i="6"/>
  <c r="P28" i="6"/>
  <c r="P36" i="6"/>
  <c r="B32" i="6"/>
  <c r="T46" i="6"/>
  <c r="S46" i="6"/>
  <c r="T48" i="6"/>
  <c r="P48" i="6"/>
  <c r="S48" i="6" s="1"/>
  <c r="S38" i="6"/>
  <c r="T38" i="6"/>
  <c r="S37" i="6"/>
  <c r="T37" i="6"/>
  <c r="P85" i="6" l="1"/>
  <c r="U48" i="6"/>
  <c r="V48" i="6" s="1"/>
  <c r="U37" i="6"/>
  <c r="V37" i="6" s="1"/>
  <c r="U46" i="6"/>
  <c r="V46" i="6" s="1"/>
  <c r="U38" i="6"/>
  <c r="V38" i="6" s="1"/>
  <c r="H54" i="8" l="1"/>
  <c r="H58" i="8" s="1"/>
  <c r="N58" i="8"/>
  <c r="K58" i="8"/>
  <c r="B41" i="8" s="1"/>
  <c r="C19" i="8"/>
  <c r="B175" i="6"/>
  <c r="B39" i="8" l="1"/>
  <c r="C30" i="8" s="1"/>
  <c r="D51" i="8" s="1"/>
  <c r="C6" i="8"/>
  <c r="H34" i="8" s="1"/>
  <c r="H36" i="8" s="1"/>
  <c r="T36" i="6"/>
  <c r="S36" i="6"/>
  <c r="T45" i="6"/>
  <c r="T47" i="6"/>
  <c r="T49" i="6"/>
  <c r="B41" i="6"/>
  <c r="B41" i="4" s="1"/>
  <c r="S4" i="6"/>
  <c r="T4" i="6"/>
  <c r="S5" i="6"/>
  <c r="T5" i="6"/>
  <c r="S6" i="6"/>
  <c r="T6" i="6"/>
  <c r="S7" i="6"/>
  <c r="T7" i="6"/>
  <c r="T8" i="6"/>
  <c r="S9" i="6"/>
  <c r="T9" i="6"/>
  <c r="S10" i="6"/>
  <c r="T10" i="6"/>
  <c r="T3" i="6"/>
  <c r="S3" i="6"/>
  <c r="S49" i="6"/>
  <c r="S45" i="6"/>
  <c r="S47" i="6"/>
  <c r="T73" i="6"/>
  <c r="U73" i="6" s="1"/>
  <c r="V73" i="6" s="1"/>
  <c r="H3" i="8" l="1"/>
  <c r="U47" i="6"/>
  <c r="V47" i="6" s="1"/>
  <c r="U49" i="6"/>
  <c r="V49" i="6" s="1"/>
  <c r="U36" i="6"/>
  <c r="V36" i="6" s="1"/>
  <c r="U7" i="6"/>
  <c r="V7" i="6" s="1"/>
  <c r="U9" i="6"/>
  <c r="V9" i="6" s="1"/>
  <c r="U5" i="6"/>
  <c r="V5" i="6" s="1"/>
  <c r="U3" i="6"/>
  <c r="V3" i="6" s="1"/>
  <c r="U6" i="6"/>
  <c r="V6" i="6" s="1"/>
  <c r="U45" i="6"/>
  <c r="V45" i="6" s="1"/>
  <c r="U10" i="6"/>
  <c r="V10" i="6" s="1"/>
  <c r="U4" i="6"/>
  <c r="V4" i="6" s="1"/>
  <c r="T34" i="6"/>
  <c r="S34" i="6"/>
  <c r="A32" i="4"/>
  <c r="A31" i="4"/>
  <c r="S33" i="6"/>
  <c r="T33" i="6"/>
  <c r="B67" i="4"/>
  <c r="A67" i="4"/>
  <c r="S74" i="6"/>
  <c r="T74" i="6"/>
  <c r="Q59" i="6"/>
  <c r="Q85" i="6" s="1"/>
  <c r="J59" i="6"/>
  <c r="J85" i="6" s="1"/>
  <c r="K8" i="6"/>
  <c r="K85" i="6" s="1"/>
  <c r="G116" i="6"/>
  <c r="I101" i="6"/>
  <c r="I98" i="6"/>
  <c r="I97" i="6"/>
  <c r="I96" i="6"/>
  <c r="I95" i="6"/>
  <c r="I94" i="6"/>
  <c r="G127" i="6"/>
  <c r="H114" i="6"/>
  <c r="B117" i="6"/>
  <c r="H110" i="6" s="1"/>
  <c r="A66" i="4"/>
  <c r="B64" i="4"/>
  <c r="B20" i="4"/>
  <c r="B19" i="4"/>
  <c r="B21" i="4"/>
  <c r="S8" i="6" l="1"/>
  <c r="U74" i="6"/>
  <c r="V74" i="6" s="1"/>
  <c r="U34" i="6"/>
  <c r="V34" i="6" s="1"/>
  <c r="U33" i="6"/>
  <c r="V33" i="6" s="1"/>
  <c r="H96" i="6"/>
  <c r="B96" i="6"/>
  <c r="E24" i="4"/>
  <c r="B62" i="6"/>
  <c r="B61" i="6"/>
  <c r="B42" i="6"/>
  <c r="B42" i="4" s="1"/>
  <c r="H98" i="6"/>
  <c r="H97" i="6"/>
  <c r="H95" i="6"/>
  <c r="A13" i="7"/>
  <c r="A12" i="7"/>
  <c r="B69" i="4"/>
  <c r="A69" i="4"/>
  <c r="D15" i="4"/>
  <c r="E15" i="4"/>
  <c r="D16" i="4"/>
  <c r="E16" i="4"/>
  <c r="D17" i="4"/>
  <c r="E17" i="4"/>
  <c r="D18" i="4"/>
  <c r="E18" i="4"/>
  <c r="D19" i="4"/>
  <c r="E19" i="4"/>
  <c r="D20" i="4"/>
  <c r="E20" i="4"/>
  <c r="D21" i="4"/>
  <c r="E21" i="4"/>
  <c r="D22" i="4"/>
  <c r="E22" i="4"/>
  <c r="D23" i="4"/>
  <c r="E23" i="4"/>
  <c r="D24" i="4"/>
  <c r="D25" i="4"/>
  <c r="E25" i="4"/>
  <c r="D26" i="4"/>
  <c r="D44" i="7"/>
  <c r="D76" i="7"/>
  <c r="D43" i="7"/>
  <c r="D53" i="7"/>
  <c r="U8" i="6" l="1"/>
  <c r="V8" i="6" s="1"/>
  <c r="I3" i="8"/>
  <c r="H99" i="6"/>
  <c r="H101" i="6" s="1"/>
  <c r="H103" i="6" s="1"/>
  <c r="E7" i="4"/>
  <c r="E9" i="4"/>
  <c r="D5" i="4"/>
  <c r="D6" i="4"/>
  <c r="D7" i="4"/>
  <c r="D8" i="4"/>
  <c r="D9" i="4"/>
  <c r="B97" i="6"/>
  <c r="J3" i="8" l="1"/>
  <c r="E26" i="4"/>
  <c r="E6" i="4"/>
  <c r="B95" i="6"/>
  <c r="B99" i="6"/>
  <c r="H104" i="6" s="1"/>
  <c r="H105" i="6" s="1"/>
  <c r="B66" i="4"/>
  <c r="B128" i="6"/>
  <c r="D42" i="7"/>
  <c r="C84" i="7"/>
  <c r="C45" i="7"/>
  <c r="C22" i="7"/>
  <c r="C16" i="7"/>
  <c r="C12" i="7"/>
  <c r="C8" i="7"/>
  <c r="C4" i="7"/>
  <c r="T23" i="6"/>
  <c r="S23" i="6"/>
  <c r="T21" i="6"/>
  <c r="S21" i="6"/>
  <c r="T20" i="6"/>
  <c r="S20" i="6"/>
  <c r="E124" i="6"/>
  <c r="B52" i="6"/>
  <c r="T52" i="6" s="1"/>
  <c r="B64" i="6"/>
  <c r="C80" i="7" s="1"/>
  <c r="B75" i="4"/>
  <c r="D4" i="4"/>
  <c r="E14" i="4"/>
  <c r="D14" i="4"/>
  <c r="S70" i="6"/>
  <c r="T70" i="6"/>
  <c r="B72" i="4"/>
  <c r="B71" i="4"/>
  <c r="B63" i="4"/>
  <c r="B62" i="4"/>
  <c r="B61" i="4"/>
  <c r="B58" i="4"/>
  <c r="B57" i="4"/>
  <c r="B56" i="4"/>
  <c r="B55" i="4"/>
  <c r="B53" i="4"/>
  <c r="B52" i="4"/>
  <c r="B51" i="4"/>
  <c r="B50" i="4"/>
  <c r="B47" i="4"/>
  <c r="B40" i="4"/>
  <c r="B32" i="4"/>
  <c r="B31" i="4"/>
  <c r="B29" i="4"/>
  <c r="B28" i="4"/>
  <c r="B27" i="4"/>
  <c r="B26" i="4"/>
  <c r="B24" i="4"/>
  <c r="B23" i="4"/>
  <c r="B17" i="4"/>
  <c r="B16" i="4"/>
  <c r="B15" i="4"/>
  <c r="B14" i="4"/>
  <c r="B12" i="4"/>
  <c r="B11" i="4"/>
  <c r="B10" i="4"/>
  <c r="B9" i="4"/>
  <c r="B8" i="4"/>
  <c r="B7" i="4"/>
  <c r="B5" i="4"/>
  <c r="B6" i="4"/>
  <c r="B4" i="4"/>
  <c r="S16" i="6"/>
  <c r="T16" i="6"/>
  <c r="S79" i="6"/>
  <c r="S78" i="6"/>
  <c r="I17" i="8" s="1"/>
  <c r="S76" i="6"/>
  <c r="I16" i="8" s="1"/>
  <c r="S72" i="6"/>
  <c r="I15" i="8" s="1"/>
  <c r="S69" i="6"/>
  <c r="S68" i="6"/>
  <c r="S65" i="6"/>
  <c r="S64" i="6"/>
  <c r="I14" i="8" s="1"/>
  <c r="S62" i="6"/>
  <c r="S61" i="6"/>
  <c r="S60" i="6"/>
  <c r="S59" i="6"/>
  <c r="I13" i="8" s="1"/>
  <c r="S57" i="6"/>
  <c r="S56" i="6"/>
  <c r="S55" i="6"/>
  <c r="S54" i="6"/>
  <c r="I12" i="8" s="1"/>
  <c r="S52" i="6"/>
  <c r="S51" i="6"/>
  <c r="I11" i="8" s="1"/>
  <c r="S83" i="6"/>
  <c r="S44" i="6"/>
  <c r="S43" i="6"/>
  <c r="S42" i="6"/>
  <c r="S41" i="6"/>
  <c r="S40" i="6"/>
  <c r="S35" i="6"/>
  <c r="S32" i="6"/>
  <c r="I9" i="8" s="1"/>
  <c r="S30" i="6"/>
  <c r="S29" i="6"/>
  <c r="S28" i="6"/>
  <c r="S26" i="6"/>
  <c r="S25" i="6"/>
  <c r="S18" i="6"/>
  <c r="S15" i="6"/>
  <c r="S12" i="6"/>
  <c r="I4" i="8" s="1"/>
  <c r="T12" i="6"/>
  <c r="H4" i="8" s="1"/>
  <c r="T14" i="6"/>
  <c r="T15" i="6"/>
  <c r="T18" i="6"/>
  <c r="T25" i="6"/>
  <c r="T26" i="6"/>
  <c r="T28" i="6"/>
  <c r="T29" i="6"/>
  <c r="T30" i="6"/>
  <c r="T32" i="6"/>
  <c r="H9" i="8" s="1"/>
  <c r="T35" i="6"/>
  <c r="T40" i="6"/>
  <c r="T41" i="6"/>
  <c r="T42" i="6"/>
  <c r="T43" i="6"/>
  <c r="T44" i="6"/>
  <c r="T83" i="6"/>
  <c r="T51" i="6"/>
  <c r="H11" i="8" s="1"/>
  <c r="J11" i="8" s="1"/>
  <c r="T54" i="6"/>
  <c r="T55" i="6"/>
  <c r="T56" i="6"/>
  <c r="T57" i="6"/>
  <c r="T59" i="6"/>
  <c r="T60" i="6"/>
  <c r="T61" i="6"/>
  <c r="T62" i="6"/>
  <c r="T65" i="6"/>
  <c r="T68" i="6"/>
  <c r="T69" i="6"/>
  <c r="T76" i="6"/>
  <c r="H16" i="8" s="1"/>
  <c r="J16" i="8" s="1"/>
  <c r="T78" i="6"/>
  <c r="T79" i="6"/>
  <c r="C48" i="1"/>
  <c r="C47" i="1"/>
  <c r="C38" i="1"/>
  <c r="C25" i="1"/>
  <c r="F24" i="1"/>
  <c r="F23" i="1"/>
  <c r="C49" i="1"/>
  <c r="C19" i="1"/>
  <c r="H24" i="1"/>
  <c r="H23" i="1"/>
  <c r="H25" i="1"/>
  <c r="F25" i="1"/>
  <c r="C22" i="1"/>
  <c r="C18" i="1"/>
  <c r="C32" i="1"/>
  <c r="C11" i="1"/>
  <c r="C17" i="1"/>
  <c r="C3" i="1"/>
  <c r="C42" i="1"/>
  <c r="C43" i="1"/>
  <c r="C57" i="1"/>
  <c r="C61" i="1"/>
  <c r="C44" i="1"/>
  <c r="C60" i="1"/>
  <c r="C63" i="1"/>
  <c r="H7" i="8" l="1"/>
  <c r="H12" i="8"/>
  <c r="J12" i="8" s="1"/>
  <c r="I8" i="8"/>
  <c r="H5" i="8"/>
  <c r="H17" i="8"/>
  <c r="J17" i="8" s="1"/>
  <c r="H13" i="8"/>
  <c r="J13" i="8" s="1"/>
  <c r="I5" i="8"/>
  <c r="J9" i="8"/>
  <c r="H10" i="8"/>
  <c r="I10" i="8"/>
  <c r="I6" i="8"/>
  <c r="J4" i="8"/>
  <c r="H8" i="8"/>
  <c r="J8" i="8" s="1"/>
  <c r="I7" i="8"/>
  <c r="J7" i="8" s="1"/>
  <c r="H6" i="8"/>
  <c r="B119" i="6"/>
  <c r="H111" i="6"/>
  <c r="E8" i="4"/>
  <c r="E5" i="4"/>
  <c r="B60" i="4"/>
  <c r="E4" i="4"/>
  <c r="U68" i="6"/>
  <c r="V68" i="6" s="1"/>
  <c r="D106" i="7"/>
  <c r="B124" i="6"/>
  <c r="U44" i="6"/>
  <c r="V44" i="6" s="1"/>
  <c r="U15" i="6"/>
  <c r="V15" i="6" s="1"/>
  <c r="U76" i="6"/>
  <c r="V76" i="6" s="1"/>
  <c r="U59" i="6"/>
  <c r="V59" i="6" s="1"/>
  <c r="U57" i="6"/>
  <c r="V57" i="6" s="1"/>
  <c r="U28" i="6"/>
  <c r="V28" i="6" s="1"/>
  <c r="B48" i="4"/>
  <c r="U32" i="6"/>
  <c r="V32" i="6" s="1"/>
  <c r="B123" i="6"/>
  <c r="B126" i="6"/>
  <c r="T72" i="6"/>
  <c r="U43" i="6"/>
  <c r="V43" i="6" s="1"/>
  <c r="T64" i="6"/>
  <c r="U69" i="6"/>
  <c r="V69" i="6" s="1"/>
  <c r="B125" i="6"/>
  <c r="U12" i="6"/>
  <c r="V12" i="6" s="1"/>
  <c r="U60" i="6"/>
  <c r="V60" i="6" s="1"/>
  <c r="U35" i="6"/>
  <c r="V35" i="6" s="1"/>
  <c r="U30" i="6"/>
  <c r="V30" i="6" s="1"/>
  <c r="U18" i="6"/>
  <c r="V18" i="6" s="1"/>
  <c r="U62" i="6"/>
  <c r="V62" i="6" s="1"/>
  <c r="U78" i="6"/>
  <c r="V78" i="6" s="1"/>
  <c r="U51" i="6"/>
  <c r="V51" i="6" s="1"/>
  <c r="U61" i="6"/>
  <c r="V61" i="6" s="1"/>
  <c r="U40" i="6"/>
  <c r="V40" i="6" s="1"/>
  <c r="U21" i="6"/>
  <c r="V21" i="6" s="1"/>
  <c r="U16" i="6"/>
  <c r="V16" i="6" s="1"/>
  <c r="U70" i="6"/>
  <c r="V70" i="6" s="1"/>
  <c r="B85" i="6"/>
  <c r="U52" i="6"/>
  <c r="V52" i="6" s="1"/>
  <c r="U56" i="6"/>
  <c r="V56" i="6" s="1"/>
  <c r="U14" i="6"/>
  <c r="V14" i="6" s="1"/>
  <c r="U55" i="6"/>
  <c r="V55" i="6" s="1"/>
  <c r="U42" i="6"/>
  <c r="V42" i="6" s="1"/>
  <c r="U29" i="6"/>
  <c r="V29" i="6" s="1"/>
  <c r="U25" i="6"/>
  <c r="V25" i="6" s="1"/>
  <c r="U79" i="6"/>
  <c r="V79" i="6" s="1"/>
  <c r="U65" i="6"/>
  <c r="V65" i="6" s="1"/>
  <c r="U54" i="6"/>
  <c r="V54" i="6" s="1"/>
  <c r="U26" i="6"/>
  <c r="V26" i="6" s="1"/>
  <c r="U41" i="6"/>
  <c r="V41" i="6" s="1"/>
  <c r="U83" i="6"/>
  <c r="V83" i="6" s="1"/>
  <c r="U23" i="6"/>
  <c r="V23" i="6" s="1"/>
  <c r="U20" i="6"/>
  <c r="V20" i="6" s="1"/>
  <c r="S85" i="6"/>
  <c r="C4" i="8" s="1"/>
  <c r="D107" i="7" l="1"/>
  <c r="D108" i="7" s="1"/>
  <c r="C106" i="7"/>
  <c r="J5" i="8"/>
  <c r="U64" i="6"/>
  <c r="V64" i="6" s="1"/>
  <c r="H14" i="8"/>
  <c r="J14" i="8" s="1"/>
  <c r="J6" i="8"/>
  <c r="B87" i="6"/>
  <c r="B122" i="6" s="1"/>
  <c r="B88" i="6"/>
  <c r="H109" i="6" s="1"/>
  <c r="U72" i="6"/>
  <c r="V72" i="6" s="1"/>
  <c r="H15" i="8"/>
  <c r="J15" i="8" s="1"/>
  <c r="J10" i="8"/>
  <c r="I18" i="8"/>
  <c r="C5" i="8"/>
  <c r="D3" i="8" s="1"/>
  <c r="E53" i="8" s="1"/>
  <c r="B77" i="4"/>
  <c r="B79" i="4" s="1"/>
  <c r="B82" i="4"/>
  <c r="T85" i="6"/>
  <c r="B89" i="6"/>
  <c r="B130" i="6"/>
  <c r="V85" i="6"/>
  <c r="C107" i="7" l="1"/>
  <c r="C108" i="7" s="1"/>
  <c r="C110" i="7" s="1"/>
  <c r="C111" i="7" s="1"/>
  <c r="H18" i="8"/>
  <c r="U85" i="6"/>
  <c r="J18" i="8"/>
  <c r="H112" i="6"/>
  <c r="H116" i="6" s="1"/>
  <c r="B81" i="4"/>
  <c r="B83" i="4" s="1"/>
  <c r="B90" i="6"/>
  <c r="P103" i="6" s="1"/>
  <c r="H125" i="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tc={A6CE147D-89ED-4AEF-9B63-3AFF8D455401}</author>
    <author>tc={6D292838-6C18-42D5-BE47-C3B0E528BE71}</author>
    <author>tc={2A84DFDF-4845-46D7-AE6E-34CB82D73A2A}</author>
    <author>tc={77CCF664-F1BC-4C9F-86C4-0BE80C2334ED}</author>
    <author>tc={29426CAA-1123-451B-A39F-9FE09B547C35}</author>
    <author>tc={1465A6CF-D60B-47FF-831F-D24C7935A197}</author>
    <author>tc={3F969D04-A9B4-4043-90E9-01FD11ADF6AC}</author>
    <author>tc={987138FB-5C0B-440E-AE1E-42DF568EEE9F}</author>
    <author>tc={B8A5B9CA-D042-4478-BA90-6DD9D4DF9CCE}</author>
    <author>tc={BC8B0A8F-43DE-4F3B-BC1C-18E64BC6814F}</author>
    <author>tc={B3C3F34A-D096-4AB4-9787-1D59B58D9A9A}</author>
    <author>tc={C11D3159-AEDA-467B-A010-A732C1A06525}</author>
  </authors>
  <commentList>
    <comment ref="B34" authorId="0" shapeId="0" xr:uid="{A6CE147D-89ED-4AEF-9B63-3AFF8D455401}">
      <text>
        <t>[Threaded comment]
Your version of Excel allows you to read this threaded comment; however, any edits to it will get removed if the file is opened in a newer version of Excel. Learn more: https://go.microsoft.com/fwlink/?linkid=870924
Comment:
    08/15/2024 JE 240065</t>
      </text>
    </comment>
    <comment ref="B35" authorId="1" shapeId="0" xr:uid="{6D292838-6C18-42D5-BE47-C3B0E528BE71}">
      <text>
        <t>[Threaded comment]
Your version of Excel allows you to read this threaded comment; however, any edits to it will get removed if the file is opened in a newer version of Excel. Learn more: https://go.microsoft.com/fwlink/?linkid=870924
Comment:
    Paid by CDS via cash transfer. Per Marion Carter</t>
      </text>
    </comment>
    <comment ref="B36" authorId="2" shapeId="0" xr:uid="{2A84DFDF-4845-46D7-AE6E-34CB82D73A2A}">
      <text>
        <t>[Threaded comment]
Your version of Excel allows you to read this threaded comment; however, any edits to it will get removed if the file is opened in a newer version of Excel. Learn more: https://go.microsoft.com/fwlink/?linkid=870924
Comment:
    JE 245049 06/30/2024</t>
      </text>
    </comment>
    <comment ref="B37" authorId="3" shapeId="0" xr:uid="{77CCF664-F1BC-4C9F-86C4-0BE80C2334ED}">
      <text>
        <t>[Threaded comment]
Your version of Excel allows you to read this threaded comment; however, any edits to it will get removed if the file is opened in a newer version of Excel. Learn more: https://go.microsoft.com/fwlink/?linkid=870924
Comment:
    JE 244029 06/05/2024</t>
      </text>
    </comment>
    <comment ref="B38" authorId="4" shapeId="0" xr:uid="{29426CAA-1123-451B-A39F-9FE09B547C35}">
      <text>
        <t>[Threaded comment]
Your version of Excel allows you to read this threaded comment; however, any edits to it will get removed if the file is opened in a newer version of Excel. Learn more: https://go.microsoft.com/fwlink/?linkid=870924
Comment:
    Paid by CDS in May 2024 via PO per Marion Carter</t>
      </text>
    </comment>
    <comment ref="B40" authorId="5" shapeId="0" xr:uid="{1465A6CF-D60B-47FF-831F-D24C7935A197}">
      <text>
        <t>[Threaded comment]
Your version of Excel allows you to read this threaded comment; however, any edits to it will get removed if the file is opened in a newer version of Excel. Learn more: https://go.microsoft.com/fwlink/?linkid=870924
Comment:
    Paid by mgmt 4035 via PO</t>
      </text>
    </comment>
    <comment ref="B42" authorId="6" shapeId="0" xr:uid="{3F969D04-A9B4-4043-90E9-01FD11ADF6AC}">
      <text>
        <t>[Threaded comment]
Your version of Excel allows you to read this threaded comment; however, any edits to it will get removed if the file is opened in a newer version of Excel. Learn more: https://go.microsoft.com/fwlink/?linkid=870924
Comment:
    Paid via LSS per Tony Moreno</t>
      </text>
    </comment>
    <comment ref="B45" authorId="7" shapeId="0" xr:uid="{987138FB-5C0B-440E-AE1E-42DF568EEE9F}">
      <text>
        <t>[Threaded comment]
Your version of Excel allows you to read this threaded comment; however, any edits to it will get removed if the file is opened in a newer version of Excel. Learn more: https://go.microsoft.com/fwlink/?linkid=870924
Comment:
    CR 240229 04/05/2024</t>
      </text>
    </comment>
    <comment ref="B46" authorId="8" shapeId="0" xr:uid="{B8A5B9CA-D042-4478-BA90-6DD9D4DF9CCE}">
      <text>
        <t>[Threaded comment]
Your version of Excel allows you to read this threaded comment; however, any edits to it will get removed if the file is opened in a newer version of Excel. Learn more: https://go.microsoft.com/fwlink/?linkid=870924
Comment:
    CR 240288 06/20/2024</t>
      </text>
    </comment>
    <comment ref="B47" authorId="9" shapeId="0" xr:uid="{BC8B0A8F-43DE-4F3B-BC1C-18E64BC6814F}">
      <text>
        <t>[Threaded comment]
Your version of Excel allows you to read this threaded comment; however, any edits to it will get removed if the file is opened in a newer version of Excel. Learn more: https://go.microsoft.com/fwlink/?linkid=870924
Comment:
    CR 240175 02/26/2024</t>
      </text>
    </comment>
    <comment ref="B48" authorId="10" shapeId="0" xr:uid="{B3C3F34A-D096-4AB4-9787-1D59B58D9A9A}">
      <text>
        <t>[Threaded comment]
Your version of Excel allows you to read this threaded comment; however, any edits to it will get removed if the file is opened in a newer version of Excel. Learn more: https://go.microsoft.com/fwlink/?linkid=870924
Comment:
    JE 244847 06/30/2024</t>
      </text>
    </comment>
    <comment ref="B49" authorId="11" shapeId="0" xr:uid="{C11D3159-AEDA-467B-A010-A732C1A06525}">
      <text>
        <t>[Threaded comment]
Your version of Excel allows you to read this threaded comment; however, any edits to it will get removed if the file is opened in a newer version of Excel. Learn more: https://go.microsoft.com/fwlink/?linkid=870924
Comment:
    JE 244942 06/30/2024</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tc={3247D9D1-FAF0-4008-A937-D5F31418D172}</author>
  </authors>
  <commentList>
    <comment ref="H15" authorId="0" shapeId="0" xr:uid="{3247D9D1-FAF0-4008-A937-D5F31418D172}">
      <text>
        <t xml:space="preserve">[Threaded comment]
Your version of Excel allows you to read this threaded comment; however, any edits to it will get removed if the file is opened in a newer version of Excel. Learn more: https://go.microsoft.com/fwlink/?linkid=870924
Comment:
    @Juan Robledo we can take the indirect off of the expenses. We need to add the Disney Institute on her, but Ted's office is paying for it. The DI should be on the BEO.
Reply:
    @Farrah Northcott did you ever receive confirmation from Jessica to remove or leave the indirect cost? </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tc={124E206E-8962-4046-AF06-5967D63934A6}</author>
  </authors>
  <commentList>
    <comment ref="B27" authorId="0" shapeId="0" xr:uid="{124E206E-8962-4046-AF06-5967D63934A6}">
      <text>
        <t>[Threaded comment]
Your version of Excel allows you to read this threaded comment; however, any edits to it will get removed if the file is opened in a newer version of Excel. Learn more: https://go.microsoft.com/fwlink/?linkid=870924
Comment:
    Vendor: Bright Blooms Floral Design
Contact Person: Alma
brightblooms.alma@gmail.com</t>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tc={EC676D48-391F-483D-8FFF-0D0CDE15FAA0}</author>
    <author>tc={97364CCA-DAD3-4612-88B5-6BBA839E1E7A}</author>
    <author>tc={4B2315B5-2988-4132-B610-22690C0DBC94}</author>
    <author>tc={1F1B1073-A9AB-4B74-89DE-40AD99DC80C1}</author>
    <author>tc={224E2BA3-E59E-4E78-80CE-F40F762572CF}</author>
    <author>tc={3CB8A926-3E23-454E-9A35-BB9E3FDB54C9}</author>
    <author>tc={FC4B7335-E0CB-4065-B64E-205D8D34FE4B}</author>
  </authors>
  <commentList>
    <comment ref="A25" authorId="0" shapeId="0" xr:uid="{EC676D48-391F-483D-8FFF-0D0CDE15FAA0}">
      <text>
        <t>[Threaded comment]
Your version of Excel allows you to read this threaded comment; however, any edits to it will get removed if the file is opened in a newer version of Excel. Learn more: https://go.microsoft.com/fwlink/?linkid=870924
Comment:
    @Juan Robledo is 60 people an estimate? It would probably be lower. @James Soward what is the plan for for where they will eat, will they eat at their booth?
Reply:
    This figure was provided by Caryn, it was calculated 20 booths times three meals, (breakfast, lunch, breakfast). Please let me know if you would like me to adjust the numbers. 
Reply:
    @James Soward then we will only account for 1 person per booth? I think ultimately a few extra people shouldn't make a difference, but if we do know exactly how many are attending, that would be helpful.
Reply:
    @James Soward @Caryn De La Torre how many people are allowed per table? We are trying to figure out the count for food.</t>
      </text>
    </comment>
    <comment ref="A48" authorId="1" shapeId="0" xr:uid="{97364CCA-DAD3-4612-88B5-6BBA839E1E7A}">
      <text>
        <t xml:space="preserve">[Threaded comment]
Your version of Excel allows you to read this threaded comment; however, any edits to it will get removed if the file is opened in a newer version of Excel. Learn more: https://go.microsoft.com/fwlink/?linkid=870924
Comment:
    @Juan Robledo do we need to add the pretzels here?
Reply:
    Yes, I can add this here. Can you please provide me with a rough estimate on how much I should order for Tuesday afternoon and Wednesday morning. </t>
      </text>
    </comment>
    <comment ref="B61" authorId="2" shapeId="0" xr:uid="{4B2315B5-2988-4132-B610-22690C0DBC94}">
      <text>
        <t>[Threaded comment]
Your version of Excel allows you to read this threaded comment; however, any edits to it will get removed if the file is opened in a newer version of Excel. Learn more: https://go.microsoft.com/fwlink/?linkid=870924
[Tasks]
There is a task anchored to this comment that cannot be viewed in your client.
Comment:
    @Juan Robledo I don't believe that is the quote that told us verbally, that's why I was trying to confirm. @Beatrice Blake 
Reply:
    @Beatrice Blake can you please confirm the amount. Thank you.
Reply:
    The only price in question that is different than what we discussed is the last custom option in the amount of $4,500. I sent Brian an email but he is out of the office. The $2,000 and $3,000 quote is what we discussed at the in-person meeting on Thrusday--and that's the discounted rate.</t>
      </text>
    </comment>
    <comment ref="A75" authorId="3" shapeId="0" xr:uid="{1F1B1073-A9AB-4B74-89DE-40AD99DC80C1}">
      <text>
        <t>[Threaded comment]
Your version of Excel allows you to read this threaded comment; however, any edits to it will get removed if the file is opened in a newer version of Excel. Learn more: https://go.microsoft.com/fwlink/?linkid=870924
Comment:
    @Juan Robledo I know you spoke with Beatrice, when you have a chance, please add Lauren Cruz De Armas, the student poet. for $250</t>
      </text>
    </comment>
    <comment ref="D97" authorId="4" shapeId="0" xr:uid="{224E2BA3-E59E-4E78-80CE-F40F762572CF}">
      <text>
        <t>[Threaded comment]
Your version of Excel allows you to read this threaded comment; however, any edits to it will get removed if the file is opened in a newer version of Excel. Learn more: https://go.microsoft.com/fwlink/?linkid=870924
Comment:
    @Juan Robledo Add Breakeven point
Reply:
    @Farrah Northcott The cell was hidden. Here it is.</t>
      </text>
    </comment>
    <comment ref="D100" authorId="5" shapeId="0" xr:uid="{3CB8A926-3E23-454E-9A35-BB9E3FDB54C9}">
      <text>
        <t>[Threaded comment]
Your version of Excel allows you to read this threaded comment; however, any edits to it will get removed if the file is opened in a newer version of Excel. Learn more: https://go.microsoft.com/fwlink/?linkid=870924
Comment:
    @Juan Robledo is this an accurate breakeven point?
Reply:
    As of this morning, the breakeven point is 556 of paid attendees. 
Reply:
    can you make it for total registrations. Right notw it doesn't make sense if we have met the breakeven but we are $125k under water
Reply:
    I'm sorry Farrah, I don't think I understand. Can we discuss this further in person?
Reply:
    can you come to my office?</t>
      </text>
    </comment>
    <comment ref="C117" authorId="6" shapeId="0" xr:uid="{FC4B7335-E0CB-4065-B64E-205D8D34FE4B}">
      <text>
        <t>[Threaded comment]
Your version of Excel allows you to read this threaded comment; however, any edits to it will get removed if the file is opened in a newer version of Excel. Learn more: https://go.microsoft.com/fwlink/?linkid=870924
[Tasks]
There is a task anchored to this comment that cannot be viewed in your client.
Comment:
    @Juan Robledo Add: Disney Institute, tote bags to the sponsorship please
Reply:
    @James Soward Can you please let me know how much the totes cost. Thanks.</t>
      </text>
    </comment>
  </commentList>
</comments>
</file>

<file path=xl/sharedStrings.xml><?xml version="1.0" encoding="utf-8"?>
<sst xmlns="http://schemas.openxmlformats.org/spreadsheetml/2006/main" count="985" uniqueCount="555">
  <si>
    <t>SRSWC 2024 Budget</t>
  </si>
  <si>
    <t>Expense Category</t>
  </si>
  <si>
    <t>Estimate Charges</t>
  </si>
  <si>
    <t>Catered Food &amp; Beverage</t>
  </si>
  <si>
    <t>Tuesday Breakfast 650: $31K</t>
  </si>
  <si>
    <t>Service Charge Fee</t>
  </si>
  <si>
    <t>Tuesday Lunch 730: $50k</t>
  </si>
  <si>
    <t xml:space="preserve">Service Charge Gratuity </t>
  </si>
  <si>
    <t xml:space="preserve">Wednesday breakfast: </t>
  </si>
  <si>
    <t>Sales Tax</t>
  </si>
  <si>
    <t>Wednesday lunch 528: $33k</t>
  </si>
  <si>
    <t>Encore</t>
  </si>
  <si>
    <t>Approximate Expense</t>
  </si>
  <si>
    <t>Disney Event Services</t>
  </si>
  <si>
    <t>Disney Power</t>
  </si>
  <si>
    <t>SmartCity</t>
  </si>
  <si>
    <t>Disney Characters</t>
  </si>
  <si>
    <t>$1,800.00 / Character / .50 hour</t>
  </si>
  <si>
    <t>Hospitality Decorations</t>
  </si>
  <si>
    <t xml:space="preserve">Disney Décor </t>
  </si>
  <si>
    <t>Disney Branding Enhancements</t>
  </si>
  <si>
    <t>Evening Networking</t>
  </si>
  <si>
    <t>Exhibitor Booth &amp; Fees</t>
  </si>
  <si>
    <t>Booth Setup/Tear down / permits</t>
  </si>
  <si>
    <t xml:space="preserve">Consultant </t>
  </si>
  <si>
    <t>$100.00 / Hour X 200 hours</t>
  </si>
  <si>
    <t>Consultants (Leilani, Marcos, MarLan)</t>
  </si>
  <si>
    <t>Time, Mileage, Gas, Meals, Parking 3 @ $1,000.00</t>
  </si>
  <si>
    <t>Internal Tech Services (Frank &amp; Jeff)</t>
  </si>
  <si>
    <t>Rooms, Parking, Meals, Mileage 2@ $2,500.00</t>
  </si>
  <si>
    <t>Keynotes + Books</t>
  </si>
  <si>
    <t>5 @ $15,000 &amp; 1 @ $7,500</t>
  </si>
  <si>
    <t>Video/Photographer</t>
  </si>
  <si>
    <t>2 @ $2,000.00</t>
  </si>
  <si>
    <t xml:space="preserve">97 rooms (64 staff | 33 standard) </t>
  </si>
  <si>
    <t>Resort Room Occupancy Tax</t>
  </si>
  <si>
    <t>Resort Room Anaheim Tax</t>
  </si>
  <si>
    <t>Parking for 97 nights</t>
  </si>
  <si>
    <t>Parking Tax</t>
  </si>
  <si>
    <t>Bell Services</t>
  </si>
  <si>
    <t>CVENT</t>
  </si>
  <si>
    <t>CVENT Shipping and Travel</t>
  </si>
  <si>
    <t>flight, transportation, delivery srvs.</t>
  </si>
  <si>
    <t>CVENT Website</t>
  </si>
  <si>
    <t>website</t>
  </si>
  <si>
    <t>SBCSS Print Shop</t>
  </si>
  <si>
    <t>SBCSS Conference Rooms</t>
  </si>
  <si>
    <t>$10.00 / Hour X 83 hours</t>
  </si>
  <si>
    <t>Committee Shirts</t>
  </si>
  <si>
    <t>Miscellaneous Expeditures</t>
  </si>
  <si>
    <t>Sonychelle Media &amp; Communications</t>
  </si>
  <si>
    <t>Redesign logo</t>
  </si>
  <si>
    <t>10 Staff Travel Fees</t>
  </si>
  <si>
    <t>Approximate Expense (meals, mileage)</t>
  </si>
  <si>
    <t>ACSA / EdCal Advertisement</t>
  </si>
  <si>
    <t>Advertisement</t>
  </si>
  <si>
    <t>Culture Club Activities</t>
  </si>
  <si>
    <t>3 @ $500 per day</t>
  </si>
  <si>
    <t>Lanyard</t>
  </si>
  <si>
    <t>3 or 4 different styles</t>
  </si>
  <si>
    <t>Wellness Room (CALHope sponsored)</t>
  </si>
  <si>
    <t>Total Estimated Expenses</t>
  </si>
  <si>
    <t>Indirect Cost</t>
  </si>
  <si>
    <t>Total Expense</t>
  </si>
  <si>
    <t>Revenue</t>
  </si>
  <si>
    <t>Registration Fee - Early Bird</t>
  </si>
  <si>
    <t>500 @ $749.00</t>
  </si>
  <si>
    <t xml:space="preserve">Registration Fee </t>
  </si>
  <si>
    <t>500 @ $849.00</t>
  </si>
  <si>
    <t>Preconference</t>
  </si>
  <si>
    <t>125 @ $179.00</t>
  </si>
  <si>
    <t>DBH - MOU</t>
  </si>
  <si>
    <t>Contribution - Children Deserve Success</t>
  </si>
  <si>
    <t>IEHP</t>
  </si>
  <si>
    <t>RCOE</t>
  </si>
  <si>
    <t>others TBD</t>
  </si>
  <si>
    <t>WFD estimate</t>
  </si>
  <si>
    <t>Total Estimated Revenue</t>
  </si>
  <si>
    <t>Estimated Expenses</t>
  </si>
  <si>
    <t>Estimated Revenue</t>
  </si>
  <si>
    <t>Sustainability</t>
  </si>
  <si>
    <t>EXPENSES</t>
  </si>
  <si>
    <t>BUDGET</t>
  </si>
  <si>
    <t>Disney Invoice</t>
  </si>
  <si>
    <t>9330 obj</t>
  </si>
  <si>
    <t>SPENT</t>
  </si>
  <si>
    <t>BALANCE</t>
  </si>
  <si>
    <t>% Remaining</t>
  </si>
  <si>
    <t>COMMUNICATIONS - FARRAH</t>
  </si>
  <si>
    <t>Conference Domain Website</t>
  </si>
  <si>
    <t>Conference Rooms (83 Hours X $10.00 Per Hour)</t>
  </si>
  <si>
    <t>Conference Shirts</t>
  </si>
  <si>
    <t>Consultant (200 Hours @ $100.00 Per Hour)</t>
  </si>
  <si>
    <t>Print Shop (flyers, banners, copies)</t>
  </si>
  <si>
    <t>SBCSS Tech Services - Frank &amp; Jeff (2 @ $2,500.00)</t>
  </si>
  <si>
    <t>Sonychelle Media &amp; Communications LLC (logo)</t>
  </si>
  <si>
    <t>CS INTEGRATION  - JENNIFER</t>
  </si>
  <si>
    <t>CVENT - BEATRICE</t>
  </si>
  <si>
    <t>Cvent (printers, iPads, scanners, networking equipment, paper)</t>
  </si>
  <si>
    <t xml:space="preserve">Cvent Shipping and Travel </t>
  </si>
  <si>
    <t>Cvent Surveys and Lead Capture</t>
  </si>
  <si>
    <t>Cvent Training for Roz, Bea, and Jerry</t>
  </si>
  <si>
    <t xml:space="preserve">Cvent Website </t>
  </si>
  <si>
    <t>DISNEY INSTITUTE - Dr. HOUSTON</t>
  </si>
  <si>
    <t>Program Fees</t>
  </si>
  <si>
    <t>Lunch</t>
  </si>
  <si>
    <t>Supplies - Hosted Self Parking Vouchers</t>
  </si>
  <si>
    <t>EXHIBITORS - JAMES</t>
  </si>
  <si>
    <t>FISCAL - JUAN</t>
  </si>
  <si>
    <t>Catering Food &amp; Beverage with Tax, gratuity, and service fees)</t>
  </si>
  <si>
    <t>Committee Member Travel Expenses (Mileage &amp; Meals)</t>
  </si>
  <si>
    <t>Miscellaneous Expenditures</t>
  </si>
  <si>
    <t>HOSPITALITY - TESLYN</t>
  </si>
  <si>
    <t>Disneyland Décor - Booth, stools, decals, inlays, balloons</t>
  </si>
  <si>
    <t>Centerpieces</t>
  </si>
  <si>
    <t>Staff Room &amp; Green Room snacks</t>
  </si>
  <si>
    <t>Power Outlet / Power Strips - Center Lounge</t>
  </si>
  <si>
    <t>Re-Key Lock - Timelock - A Ticket</t>
  </si>
  <si>
    <t>Lactation / Quiet Rooms - Re-Key - Timelox Keys</t>
  </si>
  <si>
    <t>HOTEL - JUAN</t>
  </si>
  <si>
    <t>Parking $35.00 Per Night (102 Nights) + Tax @ 17%</t>
  </si>
  <si>
    <t>Room Tax @ 17%</t>
  </si>
  <si>
    <t>Rooms $239.00 Per Night (63 Nights) - Committe Members</t>
  </si>
  <si>
    <t>Rooms $359.00 Per Night (36 Nights) - Committe Members</t>
  </si>
  <si>
    <t>Additional parking and room</t>
  </si>
  <si>
    <t>Temporary Cover of Exit Sign</t>
  </si>
  <si>
    <t>Re-Key - Timelox Keys / Hard Keys</t>
  </si>
  <si>
    <t>Power Drop / Power Strips &amp; Extention Cords</t>
  </si>
  <si>
    <t xml:space="preserve">Disney Power - CLWG </t>
  </si>
  <si>
    <t>PRE-CONFERENCE - YVONNE</t>
  </si>
  <si>
    <t>World of Color $40.00 per Person max 200</t>
  </si>
  <si>
    <t>PRESENTERS - GABRIELA</t>
  </si>
  <si>
    <t>Keynote - Laura McBain</t>
  </si>
  <si>
    <t xml:space="preserve">Keynote - Manny Scott </t>
  </si>
  <si>
    <t xml:space="preserve">Keynote - Nick Buettner </t>
  </si>
  <si>
    <t>PRODUCTION - ERIN</t>
  </si>
  <si>
    <t>Consultants for activities (3 @ $1,000.00) Leilani, Marcos, MarLan</t>
  </si>
  <si>
    <t>Disney Event Services - Audio for ballroom &amp; breakout</t>
  </si>
  <si>
    <t>Encore - Video for ballroom &amp; breakout</t>
  </si>
  <si>
    <t>REGISTRATION - BEATRICE</t>
  </si>
  <si>
    <t>CLWG Registration 3 members</t>
  </si>
  <si>
    <t>First Aid Kits</t>
  </si>
  <si>
    <t>Conference Poster Boards through out the conference</t>
  </si>
  <si>
    <t>Lanyards</t>
  </si>
  <si>
    <t>Smart City - WiFi</t>
  </si>
  <si>
    <t>Tote Bags - Sponsored by IEHP</t>
  </si>
  <si>
    <t>SOCIAL EVENTS - BEATRICE</t>
  </si>
  <si>
    <t>Student Performance - Rez Bird Life Bird Singers</t>
  </si>
  <si>
    <t>Wireless Hand Held Microphones</t>
  </si>
  <si>
    <t>Networking Appetizers</t>
  </si>
  <si>
    <t>STUDENT VOICE - PAUL</t>
  </si>
  <si>
    <t>Standing Board - Digital Art Posters from Telios</t>
  </si>
  <si>
    <t>WELLNESS ROOM - WHITNEE</t>
  </si>
  <si>
    <t xml:space="preserve">Consultants for Breakout Session </t>
  </si>
  <si>
    <t>Materials for Wellness room</t>
  </si>
  <si>
    <t>Re-Key Lock - Hard Keys</t>
  </si>
  <si>
    <t>PERSONNEL - FARRAH</t>
  </si>
  <si>
    <t>FTE for year 4 &amp; 5 Sustainability</t>
  </si>
  <si>
    <t>SUBTOTAL EXPENSES</t>
  </si>
  <si>
    <t>INDIRECT</t>
  </si>
  <si>
    <t>TOTAL EXPENSES</t>
  </si>
  <si>
    <t>Total Revenue</t>
  </si>
  <si>
    <t>REVENUE</t>
  </si>
  <si>
    <t>REGISTRATION</t>
  </si>
  <si>
    <t>Maximum number of attendees</t>
  </si>
  <si>
    <t xml:space="preserve">Early Bird $749 </t>
  </si>
  <si>
    <t>Early Bird Attendees</t>
  </si>
  <si>
    <t>Regular Price from 03/25/2024 through 07/08/2024 $849</t>
  </si>
  <si>
    <t xml:space="preserve">Regular Attendees </t>
  </si>
  <si>
    <t>Attending Presenters $749</t>
  </si>
  <si>
    <t xml:space="preserve">Attending Presenters </t>
  </si>
  <si>
    <t>SAP Providers</t>
  </si>
  <si>
    <t xml:space="preserve">Pre-Conference $149 </t>
  </si>
  <si>
    <t>Available Registration Seats</t>
  </si>
  <si>
    <t>SPONSORSHIP</t>
  </si>
  <si>
    <t>CalHope-Wellness Room</t>
  </si>
  <si>
    <t>Registration Fees</t>
  </si>
  <si>
    <t>Exhibitors</t>
  </si>
  <si>
    <t>Inland Empire Heath Plan</t>
  </si>
  <si>
    <t>Pre-Conference Add-On</t>
  </si>
  <si>
    <t>Inland Empire Heath Plan (Sponsorhip of Tote Bags)</t>
  </si>
  <si>
    <t>Possible Sustainability</t>
  </si>
  <si>
    <t>Molina Healthcare</t>
  </si>
  <si>
    <t>Riverside County Office of Education (RCOE)</t>
  </si>
  <si>
    <t>San Bernardino County Dept of Behavioral Health</t>
  </si>
  <si>
    <t>SBCSS - Children Deserve Success</t>
  </si>
  <si>
    <t>expenses</t>
  </si>
  <si>
    <t>SBCSS - Children Deserve Success - Additional contribution</t>
  </si>
  <si>
    <t>sponsorhip</t>
  </si>
  <si>
    <t>SBCSS - Children Deserve Success - Student Voice</t>
  </si>
  <si>
    <t>early bird</t>
  </si>
  <si>
    <t>SBCSS - Children Deserve Success - Exhibitor Booth</t>
  </si>
  <si>
    <t>balance</t>
  </si>
  <si>
    <t>SBCSS - Superintendents Office</t>
  </si>
  <si>
    <t>TUPE - Prop 56 Mgmt 0428</t>
  </si>
  <si>
    <t>TUPE - Prop 99 Mgmt 0429</t>
  </si>
  <si>
    <t>Workforce Development Round 2</t>
  </si>
  <si>
    <t>Break even Point</t>
  </si>
  <si>
    <t>Total</t>
  </si>
  <si>
    <t>TOTAL REVENUE</t>
  </si>
  <si>
    <t>Break even point - total registration 736 (422 Early Bird &amp; 251 Regular)</t>
  </si>
  <si>
    <t>Expenses</t>
  </si>
  <si>
    <t>Early Bird Registration</t>
  </si>
  <si>
    <t>Pre-Conference</t>
  </si>
  <si>
    <t>Sponsorship</t>
  </si>
  <si>
    <t>Projected Registrations</t>
  </si>
  <si>
    <t>BUDGET AMOUNT</t>
  </si>
  <si>
    <t>ACTUAL EXPENSES</t>
  </si>
  <si>
    <t>DIFFERENCE</t>
  </si>
  <si>
    <t>Indirect Fees</t>
  </si>
  <si>
    <t>Service Fee on Cvent Revenue</t>
  </si>
  <si>
    <t>EARLY BIRD REGISTRATION REVENUE 01/12/2024 - 03/24/2024</t>
  </si>
  <si>
    <t>Exhibitor</t>
  </si>
  <si>
    <t>General</t>
  </si>
  <si>
    <t>Keynote Speaker</t>
  </si>
  <si>
    <t>Non-Conference Attendees</t>
  </si>
  <si>
    <t>Presenter</t>
  </si>
  <si>
    <t>DBH SAP</t>
  </si>
  <si>
    <t>Sponsor - See Below</t>
  </si>
  <si>
    <t>Sponsor Additional Registration</t>
  </si>
  <si>
    <t>Committee Members</t>
  </si>
  <si>
    <t>REGISTRATION FEES 03/25/2024 - 07/09/2024</t>
  </si>
  <si>
    <t xml:space="preserve">Remitance </t>
  </si>
  <si>
    <t>Cvent</t>
  </si>
  <si>
    <t>Difference</t>
  </si>
  <si>
    <t>FAR</t>
  </si>
  <si>
    <t>January</t>
  </si>
  <si>
    <t>CR 240211</t>
  </si>
  <si>
    <t xml:space="preserve">February </t>
  </si>
  <si>
    <t>CR 240219</t>
  </si>
  <si>
    <t xml:space="preserve">March </t>
  </si>
  <si>
    <t>CR 240285</t>
  </si>
  <si>
    <t>April</t>
  </si>
  <si>
    <t>CR 240271</t>
  </si>
  <si>
    <t>May</t>
  </si>
  <si>
    <t>ER 241627</t>
  </si>
  <si>
    <t>June</t>
  </si>
  <si>
    <t>ER 241995</t>
  </si>
  <si>
    <t>SPONSORS / ABATEMENTS / REVENUE</t>
  </si>
  <si>
    <t>July</t>
  </si>
  <si>
    <t>CR 250034</t>
  </si>
  <si>
    <t>Riverside County Office of Education</t>
  </si>
  <si>
    <t>SB County Dept of Behavior Health</t>
  </si>
  <si>
    <t>SBCSS - Board of Education - Rita Fernandez-Loof</t>
  </si>
  <si>
    <t xml:space="preserve">SBCSS - Children Deserve Success </t>
  </si>
  <si>
    <t>SBCSS - Children Deserve Success - Needles USD - Rez Bird</t>
  </si>
  <si>
    <t>SBCSS - Children Deserve Success - Additional Contribution</t>
  </si>
  <si>
    <t>SBCSS - Healthy SBCSS - CLWG</t>
  </si>
  <si>
    <t>SBCSS - Healthy SBCSS - Workforce Development Round 2</t>
  </si>
  <si>
    <t>SBCSS - Learning System and Support</t>
  </si>
  <si>
    <t>SBCSS - Learning System and Support - CalHope</t>
  </si>
  <si>
    <t>SBCSS - Superintendents Office - Disney Institute</t>
  </si>
  <si>
    <t>SBCSS - Superintendents Office - Rez Birds</t>
  </si>
  <si>
    <t>Sponsor - IEHP</t>
  </si>
  <si>
    <t>Sponsor - Kaiser Permanente</t>
  </si>
  <si>
    <t>Sponsor - Molina Healthcare</t>
  </si>
  <si>
    <t>TUPE - Prop 56 Mgmt 0428 - TUPE Strand</t>
  </si>
  <si>
    <t>TUPE - Prop 99 Mgmt 0429 - TUPE Strand</t>
  </si>
  <si>
    <t>Rita Fernandez-Loof</t>
  </si>
  <si>
    <t>Wellness Room</t>
  </si>
  <si>
    <t>CLWG</t>
  </si>
  <si>
    <t>TOTAL SUSTAINABILITY</t>
  </si>
  <si>
    <t>Room</t>
  </si>
  <si>
    <t>Power Outlet</t>
  </si>
  <si>
    <t>Continental Breakfast/Pretzel</t>
  </si>
  <si>
    <t>Taxes</t>
  </si>
  <si>
    <t>Re-Key</t>
  </si>
  <si>
    <t>Power Strip / Extention Cords</t>
  </si>
  <si>
    <t>Parking</t>
  </si>
  <si>
    <t>Power Drop</t>
  </si>
  <si>
    <t>3 S Lunch Bufffet</t>
  </si>
  <si>
    <t>TOTAL</t>
  </si>
  <si>
    <t>Communications</t>
  </si>
  <si>
    <t>CLWG Registration</t>
  </si>
  <si>
    <t>Jeff - Registration</t>
  </si>
  <si>
    <t>3 Registrations</t>
  </si>
  <si>
    <t>Frank - Registration</t>
  </si>
  <si>
    <t>Jeff - Hotel</t>
  </si>
  <si>
    <t>Frank - Hotel</t>
  </si>
  <si>
    <t>Print Shop - various conference items</t>
  </si>
  <si>
    <t>Printing DBH - directional signage</t>
  </si>
  <si>
    <t>Sonychelle Media &amp; Communications LLC - Logo Redesign</t>
  </si>
  <si>
    <t>Cvent Services (Day of: iPads, scanners, printers)</t>
  </si>
  <si>
    <t>DISNEY INSTITUTE - DR. HOUSTON</t>
  </si>
  <si>
    <t>Supplies</t>
  </si>
  <si>
    <t>Catering F&amp;B 30.75% (Tax, Gratuity, Service Fees)</t>
  </si>
  <si>
    <t>Catering Food &amp; Beverage</t>
  </si>
  <si>
    <t>Committee Rooms</t>
  </si>
  <si>
    <t>Parking $35.00 Per Night (97 Nights)</t>
  </si>
  <si>
    <t>Parking Tax @ 17%</t>
  </si>
  <si>
    <t>Rooms $239.00 Per Night (64 Nights)</t>
  </si>
  <si>
    <t>Rooms $359.00 Per Night (33 Nights)</t>
  </si>
  <si>
    <t>Consultants for activities (3 @ $1,000.00)</t>
  </si>
  <si>
    <t>Tote Bags</t>
  </si>
  <si>
    <t>PERSONNEL</t>
  </si>
  <si>
    <t>SRSWC / TWC Comparison</t>
  </si>
  <si>
    <t>ESTIMATE 2025</t>
  </si>
  <si>
    <t xml:space="preserve">BUDGET 2024 </t>
  </si>
  <si>
    <t xml:space="preserve">ACTUALS 2023 </t>
  </si>
  <si>
    <t>SBCSS Tech Services - Frank &amp; Jeff Registration Fees (2@$749.00)</t>
  </si>
  <si>
    <t>SBCSS Tech Services - Frank &amp; Jeff (2 @ $1,350.00)</t>
  </si>
  <si>
    <t>Cvent Shipping and Travel</t>
  </si>
  <si>
    <t>Cvent Surveys</t>
  </si>
  <si>
    <t>Cvent Lead Capture</t>
  </si>
  <si>
    <t>Cvent Credit card reader</t>
  </si>
  <si>
    <t>Cvent training for Roz, Bea, and Jerry</t>
  </si>
  <si>
    <t>Cvent Website</t>
  </si>
  <si>
    <t xml:space="preserve">Disney Event Services  </t>
  </si>
  <si>
    <t>Exhibitor Booth and Fees</t>
  </si>
  <si>
    <t>Catering food and beverage with tax, gratuity, and service fees</t>
  </si>
  <si>
    <t>Committee members travel expenses (mileage and meals)</t>
  </si>
  <si>
    <t>Disneyland décor - booth, stools, decals, inlays, balloons</t>
  </si>
  <si>
    <t>Staff room and green room snacks</t>
  </si>
  <si>
    <t>Hospitality decorations</t>
  </si>
  <si>
    <t>Power outlet / Power strips - Center Lounge</t>
  </si>
  <si>
    <t>Re-key lock - Timelock - A Ticket</t>
  </si>
  <si>
    <t>Lacation / Quiet rooms - Re-key - Timelox keys</t>
  </si>
  <si>
    <t>Room tax @ 17%</t>
  </si>
  <si>
    <t>Rooms $239.00 Per night (63 nights) - Committee members</t>
  </si>
  <si>
    <t>Rooms $359.00 Per night (36 nights) - Committee members</t>
  </si>
  <si>
    <t>Temporary cover of exit sign</t>
  </si>
  <si>
    <t>Re-key - Timelox keys / Hard keys</t>
  </si>
  <si>
    <t>Power drop / Power strips &amp; extention cords</t>
  </si>
  <si>
    <t>Disney Power - CLWG</t>
  </si>
  <si>
    <t>PRE-CONFERENCE - DAVID</t>
  </si>
  <si>
    <t>Disney power</t>
  </si>
  <si>
    <t>In Park Opportunity | 2023 Cars Land | 2024 World of Color</t>
  </si>
  <si>
    <t>PRESENTERS - GABY</t>
  </si>
  <si>
    <t>Keynote - Derek Griendfield</t>
  </si>
  <si>
    <t>Keynote - Erica Alfaro</t>
  </si>
  <si>
    <t>Keynote - Julia Landauer Racing LLC</t>
  </si>
  <si>
    <t>Keynote - Karena Dawn</t>
  </si>
  <si>
    <t>Keynote - Molly Grisham</t>
  </si>
  <si>
    <t>Keynote - Nick Buettner</t>
  </si>
  <si>
    <t>Keynote - One Degree of Separation</t>
  </si>
  <si>
    <t>Keynote - Simon Bailey</t>
  </si>
  <si>
    <t>Plenary - Character Strong</t>
  </si>
  <si>
    <t>Plenary - Jessica Janniere</t>
  </si>
  <si>
    <t>Plenary - Kay Martinez</t>
  </si>
  <si>
    <t>Plenary - MALO Motivation Action</t>
  </si>
  <si>
    <t>Plenary - Trinity Wallace-Ellis</t>
  </si>
  <si>
    <t>Consultant for activities - Leilani Bautista</t>
  </si>
  <si>
    <t>Consultant for activities - Marcos Ruiz</t>
  </si>
  <si>
    <t>Consultant for activities - MarLan Parker</t>
  </si>
  <si>
    <t>Culture club activities</t>
  </si>
  <si>
    <t>Disney Event Services - Audio for ballroom and breakout</t>
  </si>
  <si>
    <t>Encore - Video for ballroom and breakout</t>
  </si>
  <si>
    <t>Video / Photogropher</t>
  </si>
  <si>
    <t>CLWG Registration 2 members</t>
  </si>
  <si>
    <t>Tote bags | 2024 Sponsored by IEHP</t>
  </si>
  <si>
    <t>Student Performance - Rez birdlife bird singers</t>
  </si>
  <si>
    <t>Wireless Hand held microphones</t>
  </si>
  <si>
    <t>Standing board - Digital art posters from Telios</t>
  </si>
  <si>
    <t>Consultants for breakout session</t>
  </si>
  <si>
    <t>ASSIST TRAINING</t>
  </si>
  <si>
    <t>MISCELLANEOUS EXPENSES</t>
  </si>
  <si>
    <t>Culture Club, Snacks, Supplies, Student Work, Amazon</t>
  </si>
  <si>
    <t>Majestic deposit and attrition balance</t>
  </si>
  <si>
    <t>Reimbursement to San Antonio</t>
  </si>
  <si>
    <t>Executive Committee: Dr Stephanie Houston</t>
  </si>
  <si>
    <t>PRESENTERS - DINEYTRA</t>
  </si>
  <si>
    <t>EXHIBITORS AND SPONSORS - JAMES</t>
  </si>
  <si>
    <t>Electricity</t>
  </si>
  <si>
    <t>Fire Marshall</t>
  </si>
  <si>
    <t>Food for exhibitors 3 meals x 20 booths - included in overall food count</t>
  </si>
  <si>
    <t>Cvent 3% service fee for sponsorship</t>
  </si>
  <si>
    <t>Printing Services</t>
  </si>
  <si>
    <t>WELLNESS ROOM - LAURA</t>
  </si>
  <si>
    <t>Parking $40.00 Per Day + Tax @ 25.25% - Approx 15</t>
  </si>
  <si>
    <t>Executive Committee: Sonia Navarro</t>
  </si>
  <si>
    <t>Consultant Leilani Bautista</t>
  </si>
  <si>
    <t>Consultant Marcos Ruiz</t>
  </si>
  <si>
    <t>Consultant MarLan Parker</t>
  </si>
  <si>
    <t>Keynote - Will Bowen - Day 1</t>
  </si>
  <si>
    <t>Keynote - Brandon Farbstein - Day 3</t>
  </si>
  <si>
    <t>Keynote - Dr. Niki Elliott - Day 2</t>
  </si>
  <si>
    <t xml:space="preserve">Art Posters </t>
  </si>
  <si>
    <t>Re-Key Lock - Timelock - B Ticket, Lactation, Quiet, Sleeping Beauty</t>
  </si>
  <si>
    <t>Executive Committee: Farrah Northcott</t>
  </si>
  <si>
    <t>Conference Badge Holders</t>
  </si>
  <si>
    <t xml:space="preserve">Tote Bags </t>
  </si>
  <si>
    <t>Cvent (printers, iPads, scanners, networking equipment, paper, techs))</t>
  </si>
  <si>
    <t>Decorations-Mixer (Flowers)</t>
  </si>
  <si>
    <t>Networking Appetizers - included in total food cost</t>
  </si>
  <si>
    <t>Fitness Walk - In-Park Experience DCA</t>
  </si>
  <si>
    <t>Disneyland Yoga in the park</t>
  </si>
  <si>
    <t>Student Performance</t>
  </si>
  <si>
    <t>Lunch for Site Visit</t>
  </si>
  <si>
    <t>Parking $40.00 Per Night (154 Nights) + 25.25% - Committee</t>
  </si>
  <si>
    <t>Rooms $259.00 Per Night (115 Nights) + 25.25% - Committee</t>
  </si>
  <si>
    <t>Rooms $384.00 Per Night (39 Nights) +25.25%  - Committee</t>
  </si>
  <si>
    <t>Executive Committee: Miranda Canseco</t>
  </si>
  <si>
    <t>PRE-CONFERENCE - SCOTT</t>
  </si>
  <si>
    <t>Fruit skewers - included in the total food cost</t>
  </si>
  <si>
    <t>Parking - Valet</t>
  </si>
  <si>
    <t>Conference Office Supplies</t>
  </si>
  <si>
    <t>Conference Poster Boards &amp; handouts through out the conference</t>
  </si>
  <si>
    <t>Conference Rooms (100 Hours X $10.00 Per Hour)</t>
  </si>
  <si>
    <t>Consultant (220 Hours @ $100.00 Per Hour)</t>
  </si>
  <si>
    <t>Michael Lombardo</t>
  </si>
  <si>
    <t>Presenters for Program</t>
  </si>
  <si>
    <t>COMP REGISTRATION</t>
  </si>
  <si>
    <t>Alexia Garcia</t>
  </si>
  <si>
    <t>Alyssa Castillo</t>
  </si>
  <si>
    <t>Cecilia Cazares</t>
  </si>
  <si>
    <t>Dominic Paramo</t>
  </si>
  <si>
    <t>Fransicso Morales</t>
  </si>
  <si>
    <t>Jeffrey Ortiz</t>
  </si>
  <si>
    <t>Jenny Owen</t>
  </si>
  <si>
    <t>Sohil Sud</t>
  </si>
  <si>
    <t>Turner Blatchley</t>
  </si>
  <si>
    <t>Victoria Gauci</t>
  </si>
  <si>
    <t>ACTUAL</t>
  </si>
  <si>
    <t>DIRECT</t>
  </si>
  <si>
    <t xml:space="preserve">                                                 </t>
  </si>
  <si>
    <t xml:space="preserve">Early Bird $749 through Cvent as of 03/18/2026 </t>
  </si>
  <si>
    <t>Total Expenses</t>
  </si>
  <si>
    <t>Regular Price $849 from 03/31/25 through 07/09/25</t>
  </si>
  <si>
    <t>Sponsors / Exhibitors</t>
  </si>
  <si>
    <t>Attending Presenters sponsored by DBH</t>
  </si>
  <si>
    <t>Early Bird Price from Cvent on 03/23/2026</t>
  </si>
  <si>
    <t>$10,000 - Jasmine Delgado - IEHP</t>
  </si>
  <si>
    <t>SAP Providers - Not revenue - deducted from sponsorship</t>
  </si>
  <si>
    <t>Regular Price</t>
  </si>
  <si>
    <t>$15,000 - Staci Boretzky - KP</t>
  </si>
  <si>
    <t>Platinum Sponsor - Not revenue - deducted from sponsorship</t>
  </si>
  <si>
    <t>Break even point of paid attendees</t>
  </si>
  <si>
    <t>$749 - April Montini</t>
  </si>
  <si>
    <t>TWC Committee - Not revenue - deducted from sponsorship</t>
  </si>
  <si>
    <t>$20,000 - Childrens Fund</t>
  </si>
  <si>
    <t xml:space="preserve">Break even point from expenses - sponsors </t>
  </si>
  <si>
    <t>$749 - Sohil Sud</t>
  </si>
  <si>
    <t>Break even point from expenses - sponsors - early bird</t>
  </si>
  <si>
    <t>SB County Department of Behavior Health</t>
  </si>
  <si>
    <t>Healthy Campus - Platinum</t>
  </si>
  <si>
    <t>CR 260148 - 02/23/2026</t>
  </si>
  <si>
    <t>Soluna - Color Wall</t>
  </si>
  <si>
    <t>Subtotal</t>
  </si>
  <si>
    <t>EXHIBITOR</t>
  </si>
  <si>
    <t>Alliant University - I#260442</t>
  </si>
  <si>
    <t>Inland Empire Health Plan (IEHP) - I#260443</t>
  </si>
  <si>
    <t>Elevo</t>
  </si>
  <si>
    <t>National University (Katrina Davis-Darnell) | Exhibitor; Electricity; Location</t>
  </si>
  <si>
    <t>Futuro Health (Brisa Figueroa)| Exhibitor; Lead Capture; Electricity</t>
  </si>
  <si>
    <t>Zocalo Health (Walther Perez) | Exhibitor</t>
  </si>
  <si>
    <t>SBCSS Tech Services - Frank &amp; Jeff Hotel (2 @ $1,350.00)</t>
  </si>
  <si>
    <t>CVENT - SARAH BELD</t>
  </si>
  <si>
    <t>Parking $35.00 Per Day + Tax @ 17% - Approx 15</t>
  </si>
  <si>
    <t>food for exhibitors 3 meals x 20 booths - included in overall food count</t>
  </si>
  <si>
    <t>Parking $46.80 Per Night w/tax (86 Nights)</t>
  </si>
  <si>
    <t>Rooms $239.00 Per Night (97 Nights) + 25.25% - Committe Members</t>
  </si>
  <si>
    <t>Rooms $369.00 Per Night (35 Nights) - Committee Members</t>
  </si>
  <si>
    <t>PRE-CONFERENCE - GABRIELA</t>
  </si>
  <si>
    <t>PRESENTERS - EBONI</t>
  </si>
  <si>
    <t>Keynote - Simon T. Bailey</t>
  </si>
  <si>
    <t>LED Wall</t>
  </si>
  <si>
    <t>Student Performer - Lauren Cruz De Armas</t>
  </si>
  <si>
    <t>Student Performance - Mariachi</t>
  </si>
  <si>
    <t>Parking - Valet &amp; Self-Park</t>
  </si>
  <si>
    <t>April Montini</t>
  </si>
  <si>
    <t>Jennifer Robles</t>
  </si>
  <si>
    <t>Rose Ziemann</t>
  </si>
  <si>
    <t>ESTIMATE</t>
  </si>
  <si>
    <t>Cvent - Revenue</t>
  </si>
  <si>
    <t>Event Staff</t>
  </si>
  <si>
    <t xml:space="preserve">General </t>
  </si>
  <si>
    <t>Gold</t>
  </si>
  <si>
    <t>Keynote</t>
  </si>
  <si>
    <t>Platinum</t>
  </si>
  <si>
    <t>DBH - SAP</t>
  </si>
  <si>
    <t>Silver</t>
  </si>
  <si>
    <t>Paid attendees (Early bird + regular attendees)</t>
  </si>
  <si>
    <t>More participants to break even at $849.00 rate</t>
  </si>
  <si>
    <t>Early Bird $749 from 02/03/25 through 03/30/25</t>
  </si>
  <si>
    <t>Early Bird Attendees (Updated 06/26/2025)</t>
  </si>
  <si>
    <t>Regular Attendees (Updated 06/26/2025)</t>
  </si>
  <si>
    <t>Pre-Conference - Day 1 and 2</t>
  </si>
  <si>
    <t>Amount Due</t>
  </si>
  <si>
    <t>Yoga</t>
  </si>
  <si>
    <t>$5 - Rose Ziemann</t>
  </si>
  <si>
    <t>Powerwalk</t>
  </si>
  <si>
    <t>EduReports</t>
  </si>
  <si>
    <t>$179 - Jennifer Robles</t>
  </si>
  <si>
    <t>Cvent Feb 2025</t>
  </si>
  <si>
    <t>Presenter sponsored by DBH</t>
  </si>
  <si>
    <t>Cvent April 2025</t>
  </si>
  <si>
    <t>Cvent - April 2025</t>
  </si>
  <si>
    <t>Cvent - May 2025</t>
  </si>
  <si>
    <t>TWC Committee</t>
  </si>
  <si>
    <t>Cvent - July 2025</t>
  </si>
  <si>
    <t>Seats occupied as of 06/16/2025</t>
  </si>
  <si>
    <t>Cvent - August 2025</t>
  </si>
  <si>
    <t>92166 Wellness Conference</t>
  </si>
  <si>
    <t>250741 IEHP $10,000</t>
  </si>
  <si>
    <t>Children's Fund</t>
  </si>
  <si>
    <t>CR 250218</t>
  </si>
  <si>
    <t>TWC - Sponsor - Childrens Fund</t>
  </si>
  <si>
    <t>Disney Institute - Paid by Superintendents office</t>
  </si>
  <si>
    <t>250950 Full Bloom</t>
  </si>
  <si>
    <t>Full Bloom</t>
  </si>
  <si>
    <t>Superintendents Office</t>
  </si>
  <si>
    <t>Need to do a IFT</t>
  </si>
  <si>
    <t>Healthy Campus</t>
  </si>
  <si>
    <t>One Love IE - tote bags (donation from the vendor)</t>
  </si>
  <si>
    <t>Inland Empire Health Plan</t>
  </si>
  <si>
    <t>CR 250179</t>
  </si>
  <si>
    <t>San Bernardino County DBH</t>
  </si>
  <si>
    <t>Illora will bill next month</t>
  </si>
  <si>
    <t>Kaiser Permanente - Lanyards</t>
  </si>
  <si>
    <t>CR 250166</t>
  </si>
  <si>
    <t>Children Deserve Success</t>
  </si>
  <si>
    <t>Kaiser Permanente - Gold Sponsor</t>
  </si>
  <si>
    <t>LSS</t>
  </si>
  <si>
    <t>One Love IE - tote bags</t>
  </si>
  <si>
    <t>Assistant Supts (Easels)</t>
  </si>
  <si>
    <t>CR 250193</t>
  </si>
  <si>
    <t>Allient International University</t>
  </si>
  <si>
    <t>CA Department of Healthcare Access</t>
  </si>
  <si>
    <t>CharacterStrong</t>
  </si>
  <si>
    <t>Civilian</t>
  </si>
  <si>
    <t>Disney Imagination Campus</t>
  </si>
  <si>
    <t xml:space="preserve">ELB Education </t>
  </si>
  <si>
    <t>Alliant International University</t>
  </si>
  <si>
    <t>Give Something Back</t>
  </si>
  <si>
    <t>SchoolsFirst Federal Credit Union</t>
  </si>
  <si>
    <t>Grand Canyon University</t>
  </si>
  <si>
    <t>MovieBox Art</t>
  </si>
  <si>
    <t>YouTruth</t>
  </si>
  <si>
    <t>Paradigm Healthcare Services</t>
  </si>
  <si>
    <t>SB County CASE</t>
  </si>
  <si>
    <t>San Bernardino County Behavior Health</t>
  </si>
  <si>
    <t>San Bernardino County CASE</t>
  </si>
  <si>
    <t>Wayfinder</t>
  </si>
  <si>
    <t>SchoolsFirst</t>
  </si>
  <si>
    <t>SB County Behavioral Health</t>
  </si>
  <si>
    <t>YouthTruth</t>
  </si>
  <si>
    <t>YVAPE at University of California San Diego</t>
  </si>
  <si>
    <t>YVAPE @ University of California San Diego</t>
  </si>
  <si>
    <t>ELB Education</t>
  </si>
  <si>
    <t>CA Department of Healcare Access</t>
  </si>
  <si>
    <t>Events Services</t>
  </si>
  <si>
    <t>Disney Meetings &amp; Events</t>
  </si>
  <si>
    <t>Smart City</t>
  </si>
  <si>
    <t>Disney Institute</t>
  </si>
  <si>
    <t>Mickey Mouse Greet</t>
  </si>
  <si>
    <t>Institute event</t>
  </si>
  <si>
    <t>Institute lunch</t>
  </si>
  <si>
    <t>Re-key</t>
  </si>
  <si>
    <t>Power</t>
  </si>
  <si>
    <t>Bell</t>
  </si>
  <si>
    <t>Reimbursement</t>
  </si>
  <si>
    <t>Fitness Walk</t>
  </si>
  <si>
    <t>Rooms</t>
  </si>
  <si>
    <t>-</t>
  </si>
  <si>
    <t>Regular Price $849 from 03/31/26 through 07/09/26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</si>
</sst>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8" formatCode="&quot;$&quot;#,##0.00_);[Red]\(&quot;$&quot;#,##0.00\)"/>
    <numFmt numFmtId="44" formatCode="_(&quot;$&quot;* #,##0.00_);_(&quot;$&quot;* \(#,##0.00\);_(&quot;$&quot;* &quot;-&quot;??_);_(@_)"/>
    <numFmt numFmtId="164" formatCode="mmm\ yyyy"/>
    <numFmt numFmtId="165" formatCode="&quot;$&quot;#,##0.00"/>
    <numFmt numFmtId="166" formatCode="0_);[Red]\(0\)"/>
    <numFmt numFmtId="167" formatCode="mmmm\ yyyy"/>
    <numFmt numFmtId="168" formatCode="m/d/yyyy;@"/>
  </numFmts>
  <fonts count="28" x14ac:knownFonts="1">
    <font>
      <sz val="11"/>
      <color theme="1"/>
      <name val="Calibri"/>
      <family val="2"/>
      <scheme val="minor"/>
    </font>
    <font>
      <sz val="22"/>
      <color theme="1"/>
      <name val="Calibri"/>
      <family val="2"/>
      <scheme val="minor"/>
    </font>
    <font>
      <sz val="12"/>
      <color theme="1"/>
      <name val="Calibri"/>
      <family val="2"/>
      <scheme val="minor"/>
    </font>
    <font>
      <b/>
      <sz val="12"/>
      <color theme="1"/>
      <name val="Calibri"/>
      <family val="2"/>
      <scheme val="minor"/>
    </font>
    <font>
      <sz val="11"/>
      <color rgb="FF000000"/>
      <name val="Century Gothic"/>
      <family val="1"/>
    </font>
    <font>
      <sz val="12"/>
      <color rgb="FFFFFFFF"/>
      <name val="Century Gothic"/>
      <family val="2"/>
    </font>
    <font>
      <sz val="12"/>
      <color rgb="FF000000"/>
      <name val="Century Gothic"/>
      <family val="2"/>
    </font>
    <font>
      <sz val="12"/>
      <color theme="1"/>
      <name val="Century Gothic"/>
      <family val="2"/>
    </font>
    <font>
      <b/>
      <sz val="11"/>
      <color rgb="FF000000"/>
      <name val="Century Gothic"/>
      <family val="2"/>
    </font>
    <font>
      <b/>
      <sz val="11"/>
      <color theme="1"/>
      <name val="Century Gothic"/>
      <family val="2"/>
    </font>
    <font>
      <sz val="11"/>
      <color rgb="FF000000"/>
      <name val="Century Gothic"/>
      <family val="2"/>
    </font>
    <font>
      <sz val="11"/>
      <color theme="1"/>
      <name val="Century Gothic"/>
      <family val="2"/>
    </font>
    <font>
      <sz val="18"/>
      <color theme="1"/>
      <name val="Century Gothic"/>
      <family val="2"/>
    </font>
    <font>
      <sz val="20"/>
      <color theme="1"/>
      <name val="Century Gothic"/>
      <family val="2"/>
    </font>
    <font>
      <sz val="10"/>
      <color rgb="FFFFFFFF"/>
      <name val="Century Gothic"/>
      <family val="2"/>
    </font>
    <font>
      <b/>
      <sz val="12"/>
      <color rgb="FF000000"/>
      <name val="Century Gothic"/>
      <family val="2"/>
    </font>
    <font>
      <b/>
      <sz val="12"/>
      <color theme="1"/>
      <name val="Century Gothic"/>
      <family val="2"/>
    </font>
    <font>
      <sz val="12"/>
      <name val="Century Gothic"/>
      <family val="2"/>
    </font>
    <font>
      <sz val="10"/>
      <color rgb="FF000000"/>
      <name val="Century Gothic"/>
      <family val="2"/>
    </font>
    <font>
      <sz val="11"/>
      <name val="Century Gothic"/>
      <family val="1"/>
    </font>
    <font>
      <sz val="9"/>
      <name val="Century Gothic"/>
      <family val="1"/>
    </font>
    <font>
      <sz val="11"/>
      <color theme="1"/>
      <name val="Calibri"/>
      <family val="2"/>
      <scheme val="minor"/>
    </font>
    <font>
      <sz val="11"/>
      <color theme="0"/>
      <name val="Century Gothic"/>
      <family val="2"/>
    </font>
    <font>
      <sz val="12"/>
      <color rgb="FFFF0000"/>
      <name val="Century Gothic"/>
      <family val="2"/>
    </font>
    <font>
      <b/>
      <sz val="12"/>
      <name val="Century Gothic"/>
      <family val="2"/>
    </font>
    <font>
      <sz val="11"/>
      <name val="Century Gothic"/>
      <family val="2"/>
    </font>
    <font>
      <sz val="12"/>
      <color theme="0"/>
      <name val="Century Gothic"/>
      <family val="2"/>
    </font>
    <font>
      <b/>
      <sz val="14"/>
      <color theme="1"/>
      <name val="Century Gothic"/>
      <family val="2"/>
    </font>
  </fonts>
  <fills count="9">
    <fill>
      <patternFill patternType="none"/>
    </fill>
    <fill>
      <patternFill patternType="gray125"/>
    </fill>
    <fill>
      <patternFill patternType="solid">
        <fgColor rgb="FF58B6C0"/>
        <bgColor rgb="FF000000"/>
      </patternFill>
    </fill>
    <fill>
      <patternFill patternType="solid">
        <fgColor rgb="FFBBE1E6"/>
        <bgColor rgb="FF000000"/>
      </patternFill>
    </fill>
    <fill>
      <patternFill patternType="solid">
        <fgColor rgb="FFDDF0F2"/>
        <bgColor rgb="FF000000"/>
      </patternFill>
    </fill>
    <fill>
      <patternFill patternType="solid">
        <fgColor rgb="FFBBE1E6"/>
        <bgColor indexed="64"/>
      </patternFill>
    </fill>
    <fill>
      <patternFill patternType="solid">
        <fgColor rgb="FFFFFF00"/>
        <bgColor indexed="64"/>
      </patternFill>
    </fill>
    <fill>
      <patternFill patternType="solid">
        <fgColor theme="0" tint="-0.14999847407452621"/>
        <bgColor indexed="64"/>
      </patternFill>
    </fill>
    <fill>
      <patternFill patternType="solid">
        <fgColor rgb="FF58B6C0"/>
        <bgColor indexed="64"/>
      </patternFill>
    </fill>
  </fills>
  <borders count="24">
    <border>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top style="thin">
        <color indexed="64"/>
      </top>
      <bottom style="thin">
        <color indexed="64"/>
      </bottom>
      <diagonal/>
    </border>
    <border>
      <left style="hair">
        <color rgb="FF969696"/>
      </left>
      <right style="hair">
        <color rgb="FF969696"/>
      </right>
      <top style="hair">
        <color rgb="FF969696"/>
      </top>
      <bottom style="hair">
        <color rgb="FF969696"/>
      </bottom>
      <diagonal/>
    </border>
    <border>
      <left style="hair">
        <color rgb="FFA6A6A6"/>
      </left>
      <right style="hair">
        <color rgb="FFA6A6A6"/>
      </right>
      <top style="hair">
        <color rgb="FFA6A6A6"/>
      </top>
      <bottom style="hair">
        <color rgb="FFA6A6A6"/>
      </bottom>
      <diagonal/>
    </border>
    <border>
      <left/>
      <right/>
      <top/>
      <bottom style="thin">
        <color indexed="64"/>
      </bottom>
      <diagonal/>
    </border>
    <border>
      <left/>
      <right/>
      <top/>
      <bottom style="thin">
        <color rgb="FF000000"/>
      </bottom>
      <diagonal/>
    </border>
    <border>
      <left/>
      <right/>
      <top style="thin">
        <color indexed="64"/>
      </top>
      <bottom style="double">
        <color indexed="64"/>
      </bottom>
      <diagonal/>
    </border>
    <border>
      <left style="hair">
        <color rgb="FF969696"/>
      </left>
      <right style="hair">
        <color rgb="FF969696"/>
      </right>
      <top style="hair">
        <color rgb="FF969696"/>
      </top>
      <bottom/>
      <diagonal/>
    </border>
    <border>
      <left style="hair">
        <color rgb="FFA6A6A6"/>
      </left>
      <right style="hair">
        <color rgb="FFA6A6A6"/>
      </right>
      <top style="hair">
        <color rgb="FFA6A6A6"/>
      </top>
      <bottom/>
      <diagonal/>
    </border>
    <border>
      <left style="hair">
        <color rgb="FF969696"/>
      </left>
      <right style="hair">
        <color rgb="FF969696"/>
      </right>
      <top/>
      <bottom/>
      <diagonal/>
    </border>
    <border>
      <left style="hair">
        <color rgb="FFA6A6A6"/>
      </left>
      <right style="hair">
        <color rgb="FFA6A6A6"/>
      </right>
      <top/>
      <bottom/>
      <diagonal/>
    </border>
  </borders>
  <cellStyleXfs count="2">
    <xf numFmtId="0" fontId="0" fillId="0" borderId="0"/>
    <xf numFmtId="44" fontId="21" fillId="0" borderId="0" applyFont="0" applyFill="0" applyBorder="0" applyAlignment="0" applyProtection="0"/>
  </cellStyleXfs>
  <cellXfs count="221">
    <xf numFmtId="0" fontId="0" fillId="0" borderId="0" xfId="0"/>
    <xf numFmtId="0" fontId="4" fillId="3" borderId="0" xfId="0" applyFont="1" applyFill="1" applyAlignment="1">
      <alignment vertical="center"/>
    </xf>
    <xf numFmtId="8" fontId="4" fillId="0" borderId="15" xfId="0" applyNumberFormat="1" applyFont="1" applyBorder="1" applyAlignment="1">
      <alignment horizontal="right" vertical="center"/>
    </xf>
    <xf numFmtId="8" fontId="4" fillId="4" borderId="16" xfId="0" applyNumberFormat="1" applyFont="1" applyFill="1" applyBorder="1" applyAlignment="1">
      <alignment horizontal="right" vertical="center"/>
    </xf>
    <xf numFmtId="9" fontId="4" fillId="4" borderId="0" xfId="0" applyNumberFormat="1" applyFont="1" applyFill="1" applyAlignment="1">
      <alignment horizontal="center" vertical="center"/>
    </xf>
    <xf numFmtId="0" fontId="3" fillId="0" borderId="3" xfId="0" applyFont="1" applyBorder="1" applyAlignment="1">
      <alignment horizontal="center" vertical="center" wrapText="1"/>
    </xf>
    <xf numFmtId="8" fontId="3" fillId="0" borderId="7" xfId="0" applyNumberFormat="1" applyFont="1" applyBorder="1" applyAlignment="1">
      <alignment horizontal="center" vertical="center" wrapText="1"/>
    </xf>
    <xf numFmtId="8" fontId="3" fillId="0" borderId="5" xfId="0" applyNumberFormat="1" applyFont="1" applyBorder="1" applyAlignment="1">
      <alignment horizontal="center" vertical="center" wrapText="1"/>
    </xf>
    <xf numFmtId="0" fontId="2" fillId="0" borderId="3" xfId="0" applyFont="1" applyBorder="1"/>
    <xf numFmtId="8" fontId="2" fillId="0" borderId="4" xfId="0" applyNumberFormat="1" applyFont="1" applyBorder="1" applyAlignment="1">
      <alignment horizontal="right"/>
    </xf>
    <xf numFmtId="10" fontId="2" fillId="0" borderId="4" xfId="0" applyNumberFormat="1" applyFont="1" applyBorder="1" applyAlignment="1">
      <alignment horizontal="right"/>
    </xf>
    <xf numFmtId="0" fontId="2" fillId="0" borderId="3" xfId="0" applyFont="1" applyBorder="1" applyAlignment="1">
      <alignment vertical="center"/>
    </xf>
    <xf numFmtId="9" fontId="2" fillId="0" borderId="4" xfId="0" applyNumberFormat="1" applyFont="1" applyBorder="1" applyAlignment="1">
      <alignment horizontal="right"/>
    </xf>
    <xf numFmtId="0" fontId="2" fillId="0" borderId="3" xfId="0" applyFont="1" applyBorder="1" applyAlignment="1">
      <alignment wrapText="1"/>
    </xf>
    <xf numFmtId="0" fontId="0" fillId="0" borderId="3" xfId="0" applyBorder="1"/>
    <xf numFmtId="0" fontId="2" fillId="0" borderId="4" xfId="0" applyFont="1" applyBorder="1" applyAlignment="1">
      <alignment horizontal="right"/>
    </xf>
    <xf numFmtId="8" fontId="2" fillId="0" borderId="5" xfId="0" applyNumberFormat="1" applyFont="1" applyBorder="1"/>
    <xf numFmtId="8" fontId="0" fillId="0" borderId="4" xfId="0" applyNumberFormat="1" applyBorder="1" applyAlignment="1">
      <alignment horizontal="right"/>
    </xf>
    <xf numFmtId="0" fontId="0" fillId="0" borderId="8" xfId="0" applyBorder="1"/>
    <xf numFmtId="8" fontId="0" fillId="0" borderId="9" xfId="0" applyNumberFormat="1" applyBorder="1" applyAlignment="1">
      <alignment horizontal="right"/>
    </xf>
    <xf numFmtId="8" fontId="2" fillId="0" borderId="10" xfId="0" applyNumberFormat="1" applyFont="1" applyBorder="1"/>
    <xf numFmtId="8" fontId="0" fillId="0" borderId="0" xfId="0" applyNumberFormat="1" applyAlignment="1">
      <alignment horizontal="right"/>
    </xf>
    <xf numFmtId="8" fontId="0" fillId="0" borderId="0" xfId="0" applyNumberFormat="1"/>
    <xf numFmtId="0" fontId="2" fillId="0" borderId="0" xfId="0" applyFont="1"/>
    <xf numFmtId="0" fontId="2" fillId="0" borderId="4" xfId="0" applyFont="1" applyBorder="1"/>
    <xf numFmtId="8" fontId="2" fillId="0" borderId="4" xfId="0" applyNumberFormat="1" applyFont="1" applyBorder="1"/>
    <xf numFmtId="165" fontId="0" fillId="0" borderId="0" xfId="0" applyNumberFormat="1"/>
    <xf numFmtId="8" fontId="2" fillId="0" borderId="5" xfId="0" applyNumberFormat="1" applyFont="1" applyBorder="1" applyAlignment="1">
      <alignment horizontal="right"/>
    </xf>
    <xf numFmtId="8" fontId="2" fillId="0" borderId="5" xfId="0" applyNumberFormat="1" applyFont="1" applyBorder="1" applyAlignment="1">
      <alignment vertical="center"/>
    </xf>
    <xf numFmtId="8" fontId="2" fillId="0" borderId="5" xfId="0" applyNumberFormat="1" applyFont="1" applyBorder="1" applyAlignment="1">
      <alignment horizontal="right" vertical="center"/>
    </xf>
    <xf numFmtId="8" fontId="5" fillId="2" borderId="0" xfId="0" applyNumberFormat="1" applyFont="1" applyFill="1" applyAlignment="1">
      <alignment horizontal="center" vertical="center" wrapText="1"/>
    </xf>
    <xf numFmtId="0" fontId="7" fillId="0" borderId="0" xfId="0" applyFont="1"/>
    <xf numFmtId="0" fontId="9" fillId="0" borderId="0" xfId="0" applyFont="1"/>
    <xf numFmtId="0" fontId="10" fillId="0" borderId="0" xfId="0" applyFont="1"/>
    <xf numFmtId="0" fontId="11" fillId="0" borderId="0" xfId="0" applyFont="1"/>
    <xf numFmtId="8" fontId="11" fillId="0" borderId="0" xfId="0" applyNumberFormat="1" applyFont="1"/>
    <xf numFmtId="8" fontId="10" fillId="0" borderId="0" xfId="0" applyNumberFormat="1" applyFont="1"/>
    <xf numFmtId="8" fontId="8" fillId="0" borderId="0" xfId="0" applyNumberFormat="1" applyFont="1" applyAlignment="1">
      <alignment horizontal="right" vertical="center"/>
    </xf>
    <xf numFmtId="0" fontId="8" fillId="0" borderId="0" xfId="0" applyFont="1"/>
    <xf numFmtId="8" fontId="9" fillId="0" borderId="0" xfId="0" applyNumberFormat="1" applyFont="1"/>
    <xf numFmtId="0" fontId="10" fillId="0" borderId="0" xfId="0" applyFont="1" applyAlignment="1">
      <alignment horizontal="left" vertical="center" indent="1"/>
    </xf>
    <xf numFmtId="8" fontId="10" fillId="0" borderId="0" xfId="0" applyNumberFormat="1" applyFont="1" applyAlignment="1">
      <alignment horizontal="right" vertical="center"/>
    </xf>
    <xf numFmtId="10" fontId="10" fillId="0" borderId="0" xfId="0" applyNumberFormat="1" applyFont="1" applyAlignment="1">
      <alignment horizontal="left" vertical="center" indent="1"/>
    </xf>
    <xf numFmtId="8" fontId="5" fillId="0" borderId="0" xfId="0" applyNumberFormat="1" applyFont="1" applyAlignment="1">
      <alignment horizontal="center" vertical="center" wrapText="1"/>
    </xf>
    <xf numFmtId="8" fontId="6" fillId="0" borderId="0" xfId="0" applyNumberFormat="1" applyFont="1" applyAlignment="1">
      <alignment horizontal="right" vertical="center"/>
    </xf>
    <xf numFmtId="0" fontId="14" fillId="0" borderId="0" xfId="0" applyFont="1" applyAlignment="1">
      <alignment horizontal="center" vertical="center" wrapText="1"/>
    </xf>
    <xf numFmtId="0" fontId="12" fillId="0" borderId="0" xfId="0" applyFont="1"/>
    <xf numFmtId="0" fontId="15" fillId="0" borderId="0" xfId="0" applyFont="1" applyAlignment="1">
      <alignment horizontal="left" vertical="center" indent="1"/>
    </xf>
    <xf numFmtId="8" fontId="15" fillId="0" borderId="0" xfId="0" applyNumberFormat="1" applyFont="1" applyAlignment="1">
      <alignment horizontal="right" vertical="center"/>
    </xf>
    <xf numFmtId="0" fontId="15" fillId="0" borderId="0" xfId="0" applyFont="1"/>
    <xf numFmtId="0" fontId="16" fillId="0" borderId="0" xfId="0" applyFont="1"/>
    <xf numFmtId="8" fontId="16" fillId="0" borderId="0" xfId="0" applyNumberFormat="1" applyFont="1"/>
    <xf numFmtId="0" fontId="6" fillId="0" borderId="0" xfId="0" applyFont="1"/>
    <xf numFmtId="0" fontId="17" fillId="2" borderId="0" xfId="0" applyFont="1" applyFill="1" applyAlignment="1">
      <alignment horizontal="center" vertical="center" wrapText="1"/>
    </xf>
    <xf numFmtId="8" fontId="17" fillId="2" borderId="0" xfId="0" applyNumberFormat="1" applyFont="1" applyFill="1" applyAlignment="1">
      <alignment horizontal="center" vertical="center" wrapText="1"/>
    </xf>
    <xf numFmtId="0" fontId="18" fillId="0" borderId="0" xfId="0" applyFont="1" applyAlignment="1">
      <alignment horizontal="left" vertical="center" indent="1"/>
    </xf>
    <xf numFmtId="8" fontId="12" fillId="0" borderId="0" xfId="0" applyNumberFormat="1" applyFont="1"/>
    <xf numFmtId="8" fontId="7" fillId="0" borderId="0" xfId="0" applyNumberFormat="1" applyFont="1"/>
    <xf numFmtId="10" fontId="11" fillId="0" borderId="0" xfId="0" applyNumberFormat="1" applyFont="1"/>
    <xf numFmtId="8" fontId="16" fillId="0" borderId="17" xfId="0" applyNumberFormat="1" applyFont="1" applyBorder="1"/>
    <xf numFmtId="8" fontId="8" fillId="0" borderId="0" xfId="0" applyNumberFormat="1" applyFont="1"/>
    <xf numFmtId="8" fontId="4" fillId="0" borderId="0" xfId="0" applyNumberFormat="1" applyFont="1" applyAlignment="1">
      <alignment horizontal="right" vertical="center"/>
    </xf>
    <xf numFmtId="0" fontId="15" fillId="5" borderId="0" xfId="0" applyFont="1" applyFill="1" applyAlignment="1">
      <alignment horizontal="left" vertical="center" indent="1"/>
    </xf>
    <xf numFmtId="8" fontId="15" fillId="5" borderId="0" xfId="0" applyNumberFormat="1" applyFont="1" applyFill="1" applyAlignment="1">
      <alignment horizontal="right" vertical="center"/>
    </xf>
    <xf numFmtId="0" fontId="16" fillId="5" borderId="0" xfId="0" applyFont="1" applyFill="1"/>
    <xf numFmtId="8" fontId="8" fillId="5" borderId="0" xfId="0" applyNumberFormat="1" applyFont="1" applyFill="1" applyAlignment="1">
      <alignment horizontal="right" vertical="center"/>
    </xf>
    <xf numFmtId="8" fontId="4" fillId="5" borderId="15" xfId="0" applyNumberFormat="1" applyFont="1" applyFill="1" applyBorder="1" applyAlignment="1">
      <alignment horizontal="right" vertical="center"/>
    </xf>
    <xf numFmtId="8" fontId="4" fillId="3" borderId="16" xfId="0" applyNumberFormat="1" applyFont="1" applyFill="1" applyBorder="1" applyAlignment="1">
      <alignment horizontal="right" vertical="center"/>
    </xf>
    <xf numFmtId="9" fontId="4" fillId="3" borderId="0" xfId="0" applyNumberFormat="1" applyFont="1" applyFill="1" applyAlignment="1">
      <alignment horizontal="center" vertical="center"/>
    </xf>
    <xf numFmtId="8" fontId="10" fillId="5" borderId="0" xfId="0" applyNumberFormat="1" applyFont="1" applyFill="1" applyAlignment="1">
      <alignment horizontal="right" vertical="center"/>
    </xf>
    <xf numFmtId="9" fontId="11" fillId="0" borderId="0" xfId="0" applyNumberFormat="1" applyFont="1"/>
    <xf numFmtId="8" fontId="4" fillId="5" borderId="0" xfId="0" applyNumberFormat="1" applyFont="1" applyFill="1" applyAlignment="1">
      <alignment horizontal="right" vertical="center"/>
    </xf>
    <xf numFmtId="164" fontId="19" fillId="2" borderId="0" xfId="0" applyNumberFormat="1" applyFont="1" applyFill="1" applyAlignment="1">
      <alignment horizontal="center" vertical="center" wrapText="1"/>
    </xf>
    <xf numFmtId="164" fontId="19" fillId="2" borderId="0" xfId="0" quotePrefix="1" applyNumberFormat="1" applyFont="1" applyFill="1" applyAlignment="1">
      <alignment horizontal="center" vertical="center" wrapText="1"/>
    </xf>
    <xf numFmtId="0" fontId="19" fillId="2" borderId="0" xfId="0" applyFont="1" applyFill="1" applyAlignment="1">
      <alignment horizontal="center" vertical="center" wrapText="1"/>
    </xf>
    <xf numFmtId="0" fontId="20" fillId="2" borderId="0" xfId="0" applyFont="1" applyFill="1" applyAlignment="1">
      <alignment horizontal="center" vertical="center" wrapText="1"/>
    </xf>
    <xf numFmtId="0" fontId="10" fillId="0" borderId="0" xfId="0" applyFont="1" applyAlignment="1">
      <alignment horizontal="right"/>
    </xf>
    <xf numFmtId="166" fontId="10" fillId="0" borderId="0" xfId="0" applyNumberFormat="1" applyFont="1"/>
    <xf numFmtId="1" fontId="10" fillId="0" borderId="0" xfId="0" applyNumberFormat="1" applyFont="1"/>
    <xf numFmtId="0" fontId="8" fillId="0" borderId="0" xfId="0" applyFont="1" applyAlignment="1">
      <alignment horizontal="left" vertical="center" indent="1"/>
    </xf>
    <xf numFmtId="38" fontId="11" fillId="0" borderId="0" xfId="0" applyNumberFormat="1" applyFont="1"/>
    <xf numFmtId="38" fontId="9" fillId="0" borderId="0" xfId="0" applyNumberFormat="1" applyFont="1"/>
    <xf numFmtId="166" fontId="11" fillId="0" borderId="0" xfId="0" applyNumberFormat="1" applyFont="1"/>
    <xf numFmtId="0" fontId="6" fillId="0" borderId="0" xfId="0" applyFont="1" applyAlignment="1">
      <alignment horizontal="left" vertical="center" indent="1"/>
    </xf>
    <xf numFmtId="1" fontId="11" fillId="0" borderId="0" xfId="0" applyNumberFormat="1" applyFont="1"/>
    <xf numFmtId="44" fontId="11" fillId="0" borderId="0" xfId="1" applyFont="1"/>
    <xf numFmtId="165" fontId="11" fillId="0" borderId="0" xfId="0" applyNumberFormat="1" applyFont="1"/>
    <xf numFmtId="8" fontId="11" fillId="0" borderId="0" xfId="1" applyNumberFormat="1" applyFont="1"/>
    <xf numFmtId="1" fontId="11" fillId="0" borderId="18" xfId="0" applyNumberFormat="1" applyFont="1" applyBorder="1"/>
    <xf numFmtId="165" fontId="11" fillId="0" borderId="18" xfId="0" applyNumberFormat="1" applyFont="1" applyBorder="1"/>
    <xf numFmtId="8" fontId="11" fillId="0" borderId="18" xfId="0" applyNumberFormat="1" applyFont="1" applyBorder="1"/>
    <xf numFmtId="0" fontId="11" fillId="6" borderId="0" xfId="0" applyFont="1" applyFill="1" applyAlignment="1">
      <alignment horizontal="right"/>
    </xf>
    <xf numFmtId="0" fontId="11" fillId="6" borderId="0" xfId="0" applyFont="1" applyFill="1"/>
    <xf numFmtId="8" fontId="11" fillId="6" borderId="0" xfId="0" applyNumberFormat="1" applyFont="1" applyFill="1"/>
    <xf numFmtId="8" fontId="15" fillId="0" borderId="0" xfId="0" applyNumberFormat="1" applyFont="1"/>
    <xf numFmtId="0" fontId="11" fillId="0" borderId="0" xfId="0" quotePrefix="1" applyFont="1"/>
    <xf numFmtId="0" fontId="15" fillId="0" borderId="0" xfId="0" applyFont="1" applyAlignment="1">
      <alignment horizontal="right"/>
    </xf>
    <xf numFmtId="165" fontId="7" fillId="0" borderId="0" xfId="0" applyNumberFormat="1" applyFont="1"/>
    <xf numFmtId="0" fontId="6" fillId="0" borderId="0" xfId="0" applyFont="1" applyAlignment="1">
      <alignment horizontal="right"/>
    </xf>
    <xf numFmtId="165" fontId="6" fillId="0" borderId="0" xfId="0" applyNumberFormat="1" applyFont="1"/>
    <xf numFmtId="0" fontId="16" fillId="0" borderId="0" xfId="0" applyFont="1" applyAlignment="1">
      <alignment horizontal="right"/>
    </xf>
    <xf numFmtId="165" fontId="16" fillId="0" borderId="0" xfId="0" applyNumberFormat="1" applyFont="1"/>
    <xf numFmtId="165" fontId="7" fillId="0" borderId="0" xfId="0" applyNumberFormat="1" applyFont="1" applyAlignment="1">
      <alignment horizontal="right"/>
    </xf>
    <xf numFmtId="0" fontId="6" fillId="0" borderId="0" xfId="0" applyFont="1" applyAlignment="1">
      <alignment horizontal="right" vertical="center" indent="1"/>
    </xf>
    <xf numFmtId="165" fontId="7" fillId="0" borderId="0" xfId="0" applyNumberFormat="1" applyFont="1" applyAlignment="1">
      <alignment horizontal="center" vertical="center" wrapText="1"/>
    </xf>
    <xf numFmtId="0" fontId="11" fillId="0" borderId="0" xfId="0" quotePrefix="1" applyFont="1" applyAlignment="1">
      <alignment wrapText="1"/>
    </xf>
    <xf numFmtId="8" fontId="7" fillId="0" borderId="19" xfId="0" applyNumberFormat="1" applyFont="1" applyBorder="1"/>
    <xf numFmtId="165" fontId="16" fillId="7" borderId="0" xfId="0" applyNumberFormat="1" applyFont="1" applyFill="1" applyAlignment="1">
      <alignment horizontal="right"/>
    </xf>
    <xf numFmtId="165" fontId="16" fillId="7" borderId="0" xfId="0" applyNumberFormat="1" applyFont="1" applyFill="1"/>
    <xf numFmtId="0" fontId="7" fillId="7" borderId="0" xfId="0" applyFont="1" applyFill="1" applyAlignment="1">
      <alignment horizontal="center"/>
    </xf>
    <xf numFmtId="8" fontId="7" fillId="5" borderId="0" xfId="0" applyNumberFormat="1" applyFont="1" applyFill="1"/>
    <xf numFmtId="0" fontId="8" fillId="5" borderId="0" xfId="0" applyFont="1" applyFill="1" applyAlignment="1">
      <alignment horizontal="left" vertical="center" indent="1"/>
    </xf>
    <xf numFmtId="8" fontId="11" fillId="5" borderId="0" xfId="0" applyNumberFormat="1" applyFont="1" applyFill="1"/>
    <xf numFmtId="8" fontId="11" fillId="0" borderId="0" xfId="0" applyNumberFormat="1" applyFont="1" applyAlignment="1">
      <alignment vertical="center"/>
    </xf>
    <xf numFmtId="8" fontId="11" fillId="0" borderId="0" xfId="0" applyNumberFormat="1" applyFont="1" applyAlignment="1">
      <alignment horizontal="right" vertical="center"/>
    </xf>
    <xf numFmtId="8" fontId="11" fillId="0" borderId="0" xfId="0" quotePrefix="1" applyNumberFormat="1" applyFont="1" applyAlignment="1">
      <alignment horizontal="right" vertical="center"/>
    </xf>
    <xf numFmtId="165" fontId="17" fillId="2" borderId="0" xfId="0" applyNumberFormat="1" applyFont="1" applyFill="1" applyAlignment="1">
      <alignment horizontal="right" vertical="center" wrapText="1"/>
    </xf>
    <xf numFmtId="165" fontId="15" fillId="5" borderId="0" xfId="0" applyNumberFormat="1" applyFont="1" applyFill="1" applyAlignment="1">
      <alignment horizontal="right" vertical="center" indent="1"/>
    </xf>
    <xf numFmtId="165" fontId="10" fillId="0" borderId="0" xfId="0" applyNumberFormat="1" applyFont="1" applyAlignment="1">
      <alignment horizontal="right" vertical="center" indent="1"/>
    </xf>
    <xf numFmtId="165" fontId="8" fillId="5" borderId="0" xfId="0" applyNumberFormat="1" applyFont="1" applyFill="1" applyAlignment="1">
      <alignment horizontal="right" vertical="center" indent="1"/>
    </xf>
    <xf numFmtId="165" fontId="6" fillId="0" borderId="0" xfId="0" applyNumberFormat="1" applyFont="1" applyAlignment="1">
      <alignment horizontal="right" vertical="center" indent="1"/>
    </xf>
    <xf numFmtId="165" fontId="16" fillId="0" borderId="0" xfId="0" applyNumberFormat="1" applyFont="1" applyAlignment="1">
      <alignment horizontal="right"/>
    </xf>
    <xf numFmtId="165" fontId="10" fillId="0" borderId="0" xfId="0" applyNumberFormat="1" applyFont="1" applyAlignment="1">
      <alignment horizontal="right"/>
    </xf>
    <xf numFmtId="165" fontId="11" fillId="0" borderId="0" xfId="0" applyNumberFormat="1" applyFont="1" applyAlignment="1">
      <alignment horizontal="right"/>
    </xf>
    <xf numFmtId="165" fontId="7" fillId="0" borderId="0" xfId="0" applyNumberFormat="1" applyFont="1" applyAlignment="1">
      <alignment horizontal="center" vertical="center"/>
    </xf>
    <xf numFmtId="10" fontId="10" fillId="0" borderId="0" xfId="0" applyNumberFormat="1" applyFont="1"/>
    <xf numFmtId="0" fontId="11" fillId="0" borderId="0" xfId="0" applyFont="1" applyAlignment="1">
      <alignment horizontal="center"/>
    </xf>
    <xf numFmtId="38" fontId="11" fillId="0" borderId="0" xfId="0" applyNumberFormat="1" applyFont="1" applyAlignment="1">
      <alignment horizontal="center"/>
    </xf>
    <xf numFmtId="38" fontId="9" fillId="0" borderId="0" xfId="0" applyNumberFormat="1" applyFont="1" applyAlignment="1">
      <alignment horizontal="center"/>
    </xf>
    <xf numFmtId="166" fontId="11" fillId="0" borderId="0" xfId="0" applyNumberFormat="1" applyFont="1" applyAlignment="1">
      <alignment horizontal="center"/>
    </xf>
    <xf numFmtId="38" fontId="9" fillId="0" borderId="0" xfId="0" applyNumberFormat="1" applyFont="1" applyAlignment="1">
      <alignment horizontal="center" vertical="center"/>
    </xf>
    <xf numFmtId="14" fontId="11" fillId="0" borderId="0" xfId="0" applyNumberFormat="1" applyFont="1"/>
    <xf numFmtId="167" fontId="11" fillId="0" borderId="0" xfId="0" applyNumberFormat="1" applyFont="1"/>
    <xf numFmtId="167" fontId="11" fillId="0" borderId="0" xfId="0" applyNumberFormat="1" applyFont="1" applyAlignment="1">
      <alignment horizontal="right"/>
    </xf>
    <xf numFmtId="0" fontId="11" fillId="0" borderId="0" xfId="0" applyFont="1" applyAlignment="1">
      <alignment horizontal="right"/>
    </xf>
    <xf numFmtId="168" fontId="11" fillId="0" borderId="0" xfId="0" applyNumberFormat="1" applyFont="1"/>
    <xf numFmtId="0" fontId="11" fillId="0" borderId="0" xfId="0" applyFont="1" applyAlignment="1">
      <alignment horizontal="right" wrapText="1"/>
    </xf>
    <xf numFmtId="0" fontId="11" fillId="0" borderId="0" xfId="0" applyFont="1" applyAlignment="1">
      <alignment horizontal="left"/>
    </xf>
    <xf numFmtId="0" fontId="11" fillId="0" borderId="0" xfId="0" applyFont="1" applyAlignment="1">
      <alignment horizontal="center" vertical="center"/>
    </xf>
    <xf numFmtId="8" fontId="22" fillId="0" borderId="0" xfId="0" applyNumberFormat="1" applyFont="1"/>
    <xf numFmtId="0" fontId="22" fillId="0" borderId="0" xfId="0" applyFont="1" applyAlignment="1">
      <alignment horizontal="left"/>
    </xf>
    <xf numFmtId="8" fontId="11" fillId="0" borderId="0" xfId="0" applyNumberFormat="1" applyFont="1" applyAlignment="1">
      <alignment horizontal="center"/>
    </xf>
    <xf numFmtId="8" fontId="23" fillId="0" borderId="0" xfId="0" applyNumberFormat="1" applyFont="1" applyAlignment="1">
      <alignment horizontal="right" vertical="center"/>
    </xf>
    <xf numFmtId="8" fontId="6" fillId="0" borderId="0" xfId="0" applyNumberFormat="1" applyFont="1" applyAlignment="1">
      <alignment horizontal="center" vertical="center"/>
    </xf>
    <xf numFmtId="8" fontId="23" fillId="0" borderId="0" xfId="0" applyNumberFormat="1" applyFont="1" applyAlignment="1">
      <alignment horizontal="center" vertical="center"/>
    </xf>
    <xf numFmtId="0" fontId="24" fillId="0" borderId="0" xfId="0" applyFont="1" applyAlignment="1">
      <alignment horizontal="left" vertical="center" indent="1"/>
    </xf>
    <xf numFmtId="8" fontId="17" fillId="0" borderId="0" xfId="0" applyNumberFormat="1" applyFont="1" applyAlignment="1">
      <alignment horizontal="right" vertical="center"/>
    </xf>
    <xf numFmtId="8" fontId="25" fillId="0" borderId="0" xfId="0" applyNumberFormat="1" applyFont="1"/>
    <xf numFmtId="9" fontId="25" fillId="0" borderId="0" xfId="0" applyNumberFormat="1" applyFont="1"/>
    <xf numFmtId="0" fontId="25" fillId="0" borderId="0" xfId="0" applyFont="1"/>
    <xf numFmtId="8" fontId="4" fillId="4" borderId="0" xfId="0" applyNumberFormat="1" applyFont="1" applyFill="1" applyAlignment="1">
      <alignment horizontal="right" vertical="center"/>
    </xf>
    <xf numFmtId="8" fontId="4" fillId="5" borderId="20" xfId="0" applyNumberFormat="1" applyFont="1" applyFill="1" applyBorder="1" applyAlignment="1">
      <alignment horizontal="right" vertical="center"/>
    </xf>
    <xf numFmtId="8" fontId="4" fillId="3" borderId="21" xfId="0" applyNumberFormat="1" applyFont="1" applyFill="1" applyBorder="1" applyAlignment="1">
      <alignment horizontal="right" vertical="center"/>
    </xf>
    <xf numFmtId="0" fontId="10" fillId="0" borderId="4" xfId="0" applyFont="1" applyBorder="1" applyAlignment="1">
      <alignment horizontal="left" vertical="center" indent="1"/>
    </xf>
    <xf numFmtId="8" fontId="10" fillId="0" borderId="4" xfId="0" applyNumberFormat="1" applyFont="1" applyBorder="1" applyAlignment="1">
      <alignment horizontal="right" vertical="center"/>
    </xf>
    <xf numFmtId="8" fontId="4" fillId="0" borderId="4" xfId="0" applyNumberFormat="1" applyFont="1" applyBorder="1" applyAlignment="1">
      <alignment horizontal="right" vertical="center"/>
    </xf>
    <xf numFmtId="0" fontId="4" fillId="3" borderId="4" xfId="0" applyFont="1" applyFill="1" applyBorder="1" applyAlignment="1">
      <alignment vertical="center"/>
    </xf>
    <xf numFmtId="8" fontId="4" fillId="4" borderId="4" xfId="0" applyNumberFormat="1" applyFont="1" applyFill="1" applyBorder="1" applyAlignment="1">
      <alignment horizontal="right" vertical="center"/>
    </xf>
    <xf numFmtId="9" fontId="4" fillId="4" borderId="4" xfId="0" applyNumberFormat="1" applyFont="1" applyFill="1" applyBorder="1" applyAlignment="1">
      <alignment horizontal="center" vertical="center"/>
    </xf>
    <xf numFmtId="0" fontId="4" fillId="0" borderId="4" xfId="0" applyFont="1" applyBorder="1" applyAlignment="1">
      <alignment vertical="center"/>
    </xf>
    <xf numFmtId="9" fontId="4" fillId="0" borderId="4" xfId="0" applyNumberFormat="1" applyFont="1" applyBorder="1" applyAlignment="1">
      <alignment horizontal="center" vertical="center"/>
    </xf>
    <xf numFmtId="0" fontId="15" fillId="5" borderId="4" xfId="0" applyFont="1" applyFill="1" applyBorder="1" applyAlignment="1">
      <alignment horizontal="left" vertical="center" indent="1"/>
    </xf>
    <xf numFmtId="8" fontId="8" fillId="5" borderId="4" xfId="0" applyNumberFormat="1" applyFont="1" applyFill="1" applyBorder="1" applyAlignment="1">
      <alignment horizontal="right" vertical="center"/>
    </xf>
    <xf numFmtId="8" fontId="4" fillId="5" borderId="4" xfId="0" applyNumberFormat="1" applyFont="1" applyFill="1" applyBorder="1" applyAlignment="1">
      <alignment horizontal="right" vertical="center"/>
    </xf>
    <xf numFmtId="8" fontId="4" fillId="3" borderId="4" xfId="0" applyNumberFormat="1" applyFont="1" applyFill="1" applyBorder="1" applyAlignment="1">
      <alignment horizontal="right" vertical="center"/>
    </xf>
    <xf numFmtId="9" fontId="4" fillId="3" borderId="4" xfId="0" applyNumberFormat="1" applyFont="1" applyFill="1" applyBorder="1" applyAlignment="1">
      <alignment horizontal="center" vertical="center"/>
    </xf>
    <xf numFmtId="0" fontId="9" fillId="0" borderId="4" xfId="0" applyFont="1" applyBorder="1"/>
    <xf numFmtId="0" fontId="11" fillId="0" borderId="4" xfId="0" applyFont="1" applyBorder="1"/>
    <xf numFmtId="0" fontId="26" fillId="2" borderId="0" xfId="0" applyFont="1" applyFill="1" applyAlignment="1">
      <alignment horizontal="center" vertical="center" wrapText="1"/>
    </xf>
    <xf numFmtId="8" fontId="4" fillId="5" borderId="22" xfId="0" applyNumberFormat="1" applyFont="1" applyFill="1" applyBorder="1" applyAlignment="1">
      <alignment horizontal="right" vertical="center"/>
    </xf>
    <xf numFmtId="8" fontId="4" fillId="3" borderId="23" xfId="0" applyNumberFormat="1" applyFont="1" applyFill="1" applyBorder="1" applyAlignment="1">
      <alignment horizontal="right" vertical="center"/>
    </xf>
    <xf numFmtId="0" fontId="11" fillId="0" borderId="4" xfId="0" quotePrefix="1" applyFont="1" applyBorder="1" applyAlignment="1">
      <alignment wrapText="1"/>
    </xf>
    <xf numFmtId="0" fontId="11" fillId="0" borderId="4" xfId="0" quotePrefix="1" applyFont="1" applyBorder="1"/>
    <xf numFmtId="8" fontId="7" fillId="0" borderId="17" xfId="0" applyNumberFormat="1" applyFont="1" applyBorder="1"/>
    <xf numFmtId="8" fontId="6" fillId="8" borderId="0" xfId="0" applyNumberFormat="1" applyFont="1" applyFill="1" applyAlignment="1">
      <alignment horizontal="center" vertical="center"/>
    </xf>
    <xf numFmtId="8" fontId="23" fillId="8" borderId="0" xfId="0" applyNumberFormat="1" applyFont="1" applyFill="1" applyAlignment="1">
      <alignment horizontal="center" vertical="center"/>
    </xf>
    <xf numFmtId="0" fontId="7" fillId="0" borderId="0" xfId="0" applyFont="1" applyAlignment="1">
      <alignment horizontal="center"/>
    </xf>
    <xf numFmtId="167" fontId="7" fillId="0" borderId="0" xfId="0" applyNumberFormat="1" applyFont="1" applyAlignment="1">
      <alignment horizontal="right"/>
    </xf>
    <xf numFmtId="165" fontId="7" fillId="0" borderId="0" xfId="0" applyNumberFormat="1" applyFont="1" applyAlignment="1">
      <alignment horizontal="center"/>
    </xf>
    <xf numFmtId="0" fontId="7" fillId="0" borderId="0" xfId="0" applyFont="1" applyAlignment="1">
      <alignment wrapText="1"/>
    </xf>
    <xf numFmtId="0" fontId="7" fillId="0" borderId="0" xfId="0" applyFont="1" applyAlignment="1">
      <alignment horizontal="right" wrapText="1"/>
    </xf>
    <xf numFmtId="0" fontId="7" fillId="0" borderId="0" xfId="0" applyFont="1" applyAlignment="1">
      <alignment horizontal="right"/>
    </xf>
    <xf numFmtId="38" fontId="7" fillId="0" borderId="0" xfId="0" applyNumberFormat="1" applyFont="1" applyAlignment="1">
      <alignment horizontal="center"/>
    </xf>
    <xf numFmtId="8" fontId="7" fillId="0" borderId="0" xfId="0" applyNumberFormat="1" applyFont="1" applyAlignment="1">
      <alignment horizontal="center"/>
    </xf>
    <xf numFmtId="38" fontId="16" fillId="0" borderId="0" xfId="0" applyNumberFormat="1" applyFont="1" applyAlignment="1">
      <alignment horizontal="center"/>
    </xf>
    <xf numFmtId="167" fontId="7" fillId="0" borderId="0" xfId="0" applyNumberFormat="1" applyFont="1"/>
    <xf numFmtId="166" fontId="7" fillId="0" borderId="0" xfId="0" applyNumberFormat="1" applyFont="1" applyAlignment="1">
      <alignment horizontal="center" vertical="center" wrapText="1"/>
    </xf>
    <xf numFmtId="38" fontId="7" fillId="0" borderId="0" xfId="0" applyNumberFormat="1" applyFont="1"/>
    <xf numFmtId="14" fontId="7" fillId="0" borderId="0" xfId="0" applyNumberFormat="1" applyFont="1"/>
    <xf numFmtId="8" fontId="6" fillId="0" borderId="0" xfId="0" applyNumberFormat="1" applyFont="1"/>
    <xf numFmtId="8" fontId="7" fillId="0" borderId="0" xfId="0" applyNumberFormat="1" applyFont="1" applyAlignment="1">
      <alignment vertical="center"/>
    </xf>
    <xf numFmtId="1" fontId="7" fillId="0" borderId="0" xfId="0" applyNumberFormat="1" applyFont="1"/>
    <xf numFmtId="0" fontId="27" fillId="0" borderId="0" xfId="0" applyFont="1"/>
    <xf numFmtId="8" fontId="7" fillId="6" borderId="0" xfId="0" applyNumberFormat="1" applyFont="1" applyFill="1"/>
    <xf numFmtId="8" fontId="7" fillId="0" borderId="0" xfId="0" applyNumberFormat="1" applyFont="1" applyAlignment="1">
      <alignment wrapText="1"/>
    </xf>
    <xf numFmtId="167" fontId="7" fillId="0" borderId="0" xfId="0" applyNumberFormat="1" applyFont="1" applyAlignment="1">
      <alignment horizontal="left"/>
    </xf>
    <xf numFmtId="0" fontId="7" fillId="0" borderId="0" xfId="0" applyFont="1" applyAlignment="1">
      <alignment horizontal="left" wrapText="1"/>
    </xf>
    <xf numFmtId="0" fontId="11" fillId="0" borderId="0" xfId="0" applyFont="1" applyAlignment="1">
      <alignment horizontal="center"/>
    </xf>
    <xf numFmtId="8" fontId="7" fillId="0" borderId="0" xfId="0" applyNumberFormat="1" applyFont="1" applyAlignment="1">
      <alignment horizontal="center"/>
    </xf>
    <xf numFmtId="8" fontId="2" fillId="0" borderId="11" xfId="0" applyNumberFormat="1" applyFont="1" applyBorder="1" applyAlignment="1">
      <alignment horizontal="center" vertical="center"/>
    </xf>
    <xf numFmtId="8" fontId="2" fillId="0" borderId="13" xfId="0" applyNumberFormat="1" applyFont="1" applyBorder="1" applyAlignment="1">
      <alignment horizontal="center" vertical="center"/>
    </xf>
    <xf numFmtId="8" fontId="2" fillId="0" borderId="12" xfId="0" applyNumberFormat="1" applyFont="1" applyBorder="1" applyAlignment="1">
      <alignment horizontal="center" vertical="center"/>
    </xf>
    <xf numFmtId="0" fontId="1" fillId="0" borderId="1" xfId="0" applyFont="1" applyBorder="1" applyAlignment="1">
      <alignment horizontal="center" vertical="center"/>
    </xf>
    <xf numFmtId="0" fontId="1" fillId="0" borderId="6" xfId="0" applyFont="1" applyBorder="1" applyAlignment="1">
      <alignment horizontal="center" vertical="center"/>
    </xf>
    <xf numFmtId="0" fontId="1" fillId="0" borderId="2" xfId="0" applyFont="1" applyBorder="1" applyAlignment="1">
      <alignment horizontal="center" vertical="center"/>
    </xf>
    <xf numFmtId="0" fontId="3" fillId="0" borderId="4" xfId="0" applyFont="1" applyBorder="1" applyAlignment="1">
      <alignment horizontal="center"/>
    </xf>
    <xf numFmtId="0" fontId="2" fillId="0" borderId="14" xfId="0" applyFont="1" applyBorder="1" applyAlignment="1">
      <alignment horizontal="right"/>
    </xf>
    <xf numFmtId="0" fontId="2" fillId="0" borderId="7" xfId="0" applyFont="1" applyBorder="1" applyAlignment="1">
      <alignment horizontal="right"/>
    </xf>
    <xf numFmtId="8" fontId="2" fillId="0" borderId="14" xfId="0" applyNumberFormat="1" applyFont="1" applyBorder="1" applyAlignment="1">
      <alignment horizontal="right"/>
    </xf>
    <xf numFmtId="8" fontId="2" fillId="0" borderId="7" xfId="0" applyNumberFormat="1" applyFont="1" applyBorder="1" applyAlignment="1">
      <alignment horizontal="right"/>
    </xf>
    <xf numFmtId="0" fontId="15" fillId="0" borderId="0" xfId="0" applyFont="1" applyAlignment="1">
      <alignment horizontal="center"/>
    </xf>
    <xf numFmtId="8" fontId="11" fillId="0" borderId="0" xfId="0" applyNumberFormat="1" applyFont="1" applyAlignment="1">
      <alignment horizontal="center"/>
    </xf>
    <xf numFmtId="165" fontId="7" fillId="7" borderId="0" xfId="0" applyNumberFormat="1" applyFont="1" applyFill="1" applyAlignment="1">
      <alignment horizontal="center" vertical="center"/>
    </xf>
    <xf numFmtId="165" fontId="7" fillId="7" borderId="0" xfId="0" applyNumberFormat="1" applyFont="1" applyFill="1" applyAlignment="1">
      <alignment horizontal="center"/>
    </xf>
    <xf numFmtId="0" fontId="7" fillId="7" borderId="0" xfId="0" applyFont="1" applyFill="1" applyAlignment="1">
      <alignment horizontal="center"/>
    </xf>
    <xf numFmtId="0" fontId="13" fillId="0" borderId="0" xfId="0" applyFont="1" applyAlignment="1">
      <alignment horizontal="center"/>
    </xf>
    <xf numFmtId="8" fontId="11" fillId="0" borderId="0" xfId="0" quotePrefix="1" applyNumberFormat="1" applyFont="1" applyAlignment="1">
      <alignment horizontal="right" vertical="center"/>
    </xf>
    <xf numFmtId="167" fontId="11" fillId="0" borderId="0" xfId="0" applyNumberFormat="1" applyFont="1" applyAlignment="1">
      <alignment horizontal="left"/>
    </xf>
    <xf numFmtId="0" fontId="22" fillId="0" borderId="0" xfId="0" applyFont="1" applyAlignment="1">
      <alignment horizontal="left"/>
    </xf>
    <xf numFmtId="0" fontId="11" fillId="0" borderId="0" xfId="0" applyFont="1" applyAlignment="1">
      <alignment horizontal="left" wrapText="1"/>
    </xf>
    <xf numFmtId="0" fontId="11" fillId="0" borderId="0" xfId="0" applyFont="1" applyAlignment="1">
      <alignment horizontal="left"/>
    </xf>
  </cellXfs>
  <cellStyles count="2">
    <cellStyle name="Currency" xfId="1" builtinId="4"/>
    <cellStyle name="Normal" xfId="0" builtinId="0"/>
  </cellStyles>
  <dxfs count="0"/>
  <tableStyles count="0" defaultTableStyle="TableStyleMedium2" defaultPivotStyle="PivotStyleLight16"/>
  <colors>
    <mruColors>
      <color rgb="FF58B6C0"/>
      <color rgb="FFBBE1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ocumenttasks/documenttask1.xml><?xml version="1.0" encoding="utf-8"?>
<Tasks xmlns="http://schemas.microsoft.com/office/tasks/2019/documenttasks">
  <Task id="{91F3FC1D-9399-4AD7-9960-546D14DD3E16}">
    <Anchor>
      <Comment id="{4B2315B5-2988-4132-B610-22690C0DBC94}"/>
    </Anchor>
    <History>
      <Event time="2025-04-29T20:34:21.27" id="{827F1C8F-F0F0-49F8-A274-20E753FAEAA5}">
        <Attribution userId="S::juan.robledo@sbcss.org::e9259d7e-21e4-4180-add6-b8a89a5b34b8" userName="Juan Robledo" userProvider="AD"/>
        <Anchor>
          <Comment id="{FD7CD4CA-27EC-4C01-B032-FD111EF84EC3}"/>
        </Anchor>
        <Create/>
      </Event>
      <Event time="2025-04-29T20:34:21.27" id="{2F388EC4-0533-49ED-8985-E117E8A2E7FA}">
        <Attribution userId="S::juan.robledo@sbcss.org::e9259d7e-21e4-4180-add6-b8a89a5b34b8" userName="Juan Robledo" userProvider="AD"/>
        <Anchor>
          <Comment id="{FD7CD4CA-27EC-4C01-B032-FD111EF84EC3}"/>
        </Anchor>
        <Assign userId="S::Beatrice.Blake@SBCSS.ORG::ef85dcc7-018b-4337-ba48-9955423fabe0" userName="Beatrice Blake" userProvider="AD"/>
      </Event>
      <Event time="2025-04-29T20:34:21.27" id="{0829E803-237B-4339-93C9-43AB13212DA7}">
        <Attribution userId="S::juan.robledo@sbcss.org::e9259d7e-21e4-4180-add6-b8a89a5b34b8" userName="Juan Robledo" userProvider="AD"/>
        <Anchor>
          <Comment id="{FD7CD4CA-27EC-4C01-B032-FD111EF84EC3}"/>
        </Anchor>
        <SetTitle title="@Beatrice Blake can you please confirm the amount. Thank you."/>
      </Event>
      <Event time="2025-06-26T23:21:14.59" id="{16680D24-6A22-4577-BEB4-E50D0CFDD120}">
        <Attribution userId="S::juan.robledo@sbcss.org::e9259d7e-21e4-4180-add6-b8a89a5b34b8" userName="Juan Robledo" userProvider="AD"/>
        <Progress percentComplete="100"/>
      </Event>
    </History>
  </Task>
  <Task id="{3EB9C22F-4CF1-40E1-AFC8-3CC89B88606A}">
    <Anchor>
      <Comment id="{FC4B7335-E0CB-4065-B64E-205D8D34FE4B}"/>
    </Anchor>
    <History>
      <Event time="2025-04-29T20:31:59.85" id="{0DBC606F-D2C7-4355-8B1E-0ACB8473C524}">
        <Attribution userId="S::juan.robledo@sbcss.org::e9259d7e-21e4-4180-add6-b8a89a5b34b8" userName="Juan Robledo" userProvider="AD"/>
        <Anchor>
          <Comment id="{BC3EF81B-8929-4BD3-8427-3A2B4D3A1BA9}"/>
        </Anchor>
        <Create/>
      </Event>
      <Event time="2025-04-29T20:31:59.85" id="{516C4D5E-DC9F-4714-91A1-14A608A1EF63}">
        <Attribution userId="S::juan.robledo@sbcss.org::e9259d7e-21e4-4180-add6-b8a89a5b34b8" userName="Juan Robledo" userProvider="AD"/>
        <Anchor>
          <Comment id="{BC3EF81B-8929-4BD3-8427-3A2B4D3A1BA9}"/>
        </Anchor>
        <Assign userId="S::James.Soward@SBCSS.ORG::7443579f-135d-4d8c-8ee9-27d08753dbba" userName="James Soward" userProvider="AD"/>
      </Event>
      <Event time="2025-04-29T20:31:59.85" id="{8424DE37-0644-4C2F-AF39-19A91CCC8F6D}">
        <Attribution userId="S::juan.robledo@sbcss.org::e9259d7e-21e4-4180-add6-b8a89a5b34b8" userName="Juan Robledo" userProvider="AD"/>
        <Anchor>
          <Comment id="{BC3EF81B-8929-4BD3-8427-3A2B4D3A1BA9}"/>
        </Anchor>
        <SetTitle title="@James Soward Can you please let me know how much the totes cost. Thanks."/>
      </Event>
    </History>
  </Task>
</Tasks>
</file>

<file path=xl/persons/person.xml><?xml version="1.0" encoding="utf-8"?>
<personList xmlns="http://schemas.microsoft.com/office/spreadsheetml/2018/threadedcomments" xmlns:x="http://schemas.openxmlformats.org/spreadsheetml/2006/main">
  <person displayName="James Soward" id="{4F0CDB79-B9DA-4D6E-8BC7-116852BFC4AC}" userId="James.Soward@SBCSS.ORG" providerId="PeoplePicker"/>
  <person displayName="Juan Robledo" id="{54C2E8E1-093F-4BC7-8EF5-CFA97A2363F1}" userId="Juan.Robledo@SBCSS.ORG" providerId="PeoplePicker"/>
  <person displayName="Beatrice Blake" id="{0046F123-2C1C-4281-B3DA-62346EE6F041}" userId="Beatrice.Blake@SBCSS.ORG" providerId="PeoplePicker"/>
  <person displayName="Caryn De La Torre" id="{8F9EF48A-530E-C44D-95AE-F92EBA4B329C}" userId="Caryn.DeLaTorre@SBCSS.ORG" providerId="PeoplePicker"/>
  <person displayName="Farrah Northcott" id="{FC946D2C-F757-4666-80E1-069D54584295}" userId="Farrah.Northcott@SBCSS.ORG" providerId="PeoplePicker"/>
  <person displayName="Juan Robledo" id="{97F4634F-C314-4E13-BD08-6E31D4E7C055}" userId="S::Juan.Robledo@SBCSS.ORG::e9259d7e-21e4-4180-add6-b8a89a5b34b8" providerId="AD"/>
  <person displayName="Juan Robledo" id="{CEDFD345-F20B-4289-9512-E10C725C2E3E}" userId="S::Juan.Robledo@sbcss.org::e9259d7e-21e4-4180-add6-b8a89a5b34b8" providerId="AD"/>
  <person displayName="Juan Robledo" id="{EBED016D-AA77-4344-A6C0-43666C6C5EC9}" userId="S::juan.robledo@sbcss.net::e9259d7e-21e4-4180-add6-b8a89a5b34b8" providerId="AD"/>
  <person displayName="Juan Robledo" id="{5565A5B6-B6B9-49C7-A15F-39901EE6EBD0}" userId="S::juan.robledo@sbcss.org::e9259d7e-21e4-4180-add6-b8a89a5b34b8" providerId="AD"/>
  <person displayName="Beatrice Blake" id="{5A28952B-FA07-484D-8460-70967B2E0053}" userId="S::beatrice.blake@sbcss.org::ef85dcc7-018b-4337-ba48-9955423fabe0" providerId="AD"/>
  <person displayName="Farrah Northcott" id="{094041ED-4836-E44C-8886-DEEA815A6C88}" userId="S::Farrah.Northcott@sbcss.org::f56ecff9-22bd-44ec-8d0b-7d72d5fc2914" providerId="AD"/>
  <person displayName="Farrah Northcott" id="{C8C499FD-695C-4403-B83C-4EF518669727}" userId="S::farrah.northcott@sbcss.org::f56ecff9-22bd-44ec-8d0b-7d72d5fc2914" providerId="AD"/>
</personList>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34" dT="2024-09-11T15:18:37.90" personId="{97F4634F-C314-4E13-BD08-6E31D4E7C055}" id="{A6CE147D-89ED-4AEF-9B63-3AFF8D455401}">
    <text>08/15/2024 JE 240065</text>
  </threadedComment>
  <threadedComment ref="B35" dT="2024-09-11T16:51:41.40" personId="{97F4634F-C314-4E13-BD08-6E31D4E7C055}" id="{6D292838-6C18-42D5-BE47-C3B0E528BE71}">
    <text>Paid by CDS via cash transfer. Per Marion Carter</text>
  </threadedComment>
  <threadedComment ref="B36" dT="2024-09-11T15:20:30.40" personId="{97F4634F-C314-4E13-BD08-6E31D4E7C055}" id="{2A84DFDF-4845-46D7-AE6E-34CB82D73A2A}">
    <text>JE 245049 06/30/2024</text>
  </threadedComment>
  <threadedComment ref="B37" dT="2024-09-11T15:19:06.42" personId="{97F4634F-C314-4E13-BD08-6E31D4E7C055}" id="{77CCF664-F1BC-4C9F-86C4-0BE80C2334ED}">
    <text>JE 244029 06/05/2024</text>
  </threadedComment>
  <threadedComment ref="B38" dT="2024-09-11T16:52:22.82" personId="{97F4634F-C314-4E13-BD08-6E31D4E7C055}" id="{29426CAA-1123-451B-A39F-9FE09B547C35}">
    <text>Paid by CDS in May 2024 via PO per Marion Carter</text>
  </threadedComment>
  <threadedComment ref="B40" dT="2024-09-11T16:53:06.93" personId="{97F4634F-C314-4E13-BD08-6E31D4E7C055}" id="{1465A6CF-D60B-47FF-831F-D24C7935A197}">
    <text>Paid by mgmt 4035 via PO</text>
  </threadedComment>
  <threadedComment ref="B42" dT="2024-09-11T16:54:14.97" personId="{97F4634F-C314-4E13-BD08-6E31D4E7C055}" id="{3F969D04-A9B4-4043-90E9-01FD11ADF6AC}">
    <text>Paid via LSS per Tony Moreno</text>
  </threadedComment>
  <threadedComment ref="B45" dT="2024-09-11T15:40:22.96" personId="{97F4634F-C314-4E13-BD08-6E31D4E7C055}" id="{987138FB-5C0B-440E-AE1E-42DF568EEE9F}">
    <text>CR 240229 04/05/2024</text>
  </threadedComment>
  <threadedComment ref="B46" dT="2024-09-11T15:40:58.05" personId="{97F4634F-C314-4E13-BD08-6E31D4E7C055}" id="{B8A5B9CA-D042-4478-BA90-6DD9D4DF9CCE}">
    <text>CR 240288 06/20/2024</text>
  </threadedComment>
  <threadedComment ref="B47" dT="2024-09-11T15:41:27.86" personId="{97F4634F-C314-4E13-BD08-6E31D4E7C055}" id="{BC8B0A8F-43DE-4F3B-BC1C-18E64BC6814F}">
    <text>CR 240175 02/26/2024</text>
  </threadedComment>
  <threadedComment ref="B48" dT="2024-09-11T15:19:37.28" personId="{97F4634F-C314-4E13-BD08-6E31D4E7C055}" id="{B3C3F34A-D096-4AB4-9787-1D59B58D9A9A}">
    <text>JE 244847 06/30/2024</text>
  </threadedComment>
  <threadedComment ref="B49" dT="2024-09-11T15:20:09.33" personId="{97F4634F-C314-4E13-BD08-6E31D4E7C055}" id="{C11D3159-AEDA-467B-A010-A732C1A06525}">
    <text>JE 244942 06/30/2024</text>
  </threadedComment>
</ThreadedComments>
</file>

<file path=xl/threadedComments/threadedComment2.xml><?xml version="1.0" encoding="utf-8"?>
<ThreadedComments xmlns="http://schemas.microsoft.com/office/spreadsheetml/2018/threadedcomments" xmlns:x="http://schemas.openxmlformats.org/spreadsheetml/2006/main">
  <threadedComment ref="H15" dT="2024-04-08T16:17:18.74" personId="{C8C499FD-695C-4403-B83C-4EF518669727}" id="{3247D9D1-FAF0-4008-A937-D5F31418D172}">
    <text>@Juan Robledo we can take the indirect off of the expenses. We need to add the Disney Institute on her, but Ted's office is paying for it. The DI should be on the BEO.</text>
    <mentions>
      <mention mentionpersonId="{54C2E8E1-093F-4BC7-8EF5-CFA97A2363F1}" mentionId="{9F43745B-4128-4392-9834-8A21BEF7B0EC}" startIndex="0" length="13"/>
    </mentions>
  </threadedComment>
  <threadedComment ref="H15" dT="2024-04-18T21:16:20.57" personId="{97F4634F-C314-4E13-BD08-6E31D4E7C055}" id="{6D05FDE0-1D74-4BA4-9D4D-38EE09A717D9}" parentId="{3247D9D1-FAF0-4008-A937-D5F31418D172}">
    <text xml:space="preserve">@Farrah Northcott did you ever receive confirmation from Jessica to remove or leave the indirect cost? </text>
    <mentions>
      <mention mentionpersonId="{FC946D2C-F757-4666-80E1-069D54584295}" mentionId="{82A6265D-D6E3-4B85-9D29-002A45BC5661}" startIndex="0" length="17"/>
    </mentions>
  </threadedComment>
</ThreadedComments>
</file>

<file path=xl/threadedComments/threadedComment3.xml><?xml version="1.0" encoding="utf-8"?>
<ThreadedComments xmlns="http://schemas.microsoft.com/office/spreadsheetml/2018/threadedcomments" xmlns:x="http://schemas.openxmlformats.org/spreadsheetml/2006/main">
  <threadedComment ref="B27" dT="2026-02-10T18:15:19.62" personId="{EBED016D-AA77-4344-A6C0-43666C6C5EC9}" id="{124E206E-8962-4046-AF06-5967D63934A6}">
    <text>Vendor: Bright Blooms Floral Design
Contact Person: Alma
brightblooms.alma@gmail.com</text>
  </threadedComment>
</ThreadedComments>
</file>

<file path=xl/threadedComments/threadedComment4.xml><?xml version="1.0" encoding="utf-8"?>
<ThreadedComments xmlns="http://schemas.microsoft.com/office/spreadsheetml/2018/threadedcomments" xmlns:x="http://schemas.openxmlformats.org/spreadsheetml/2006/main">
  <threadedComment ref="A25" dT="2025-04-29T07:07:55.15" personId="{C8C499FD-695C-4403-B83C-4EF518669727}" id="{EC676D48-391F-483D-8FFF-0D0CDE15FAA0}">
    <text>@Juan Robledo is 60 people an estimate? It would probably be lower. @James Soward what is the plan for for where they will eat, will they eat at their booth?</text>
    <mentions>
      <mention mentionpersonId="{54C2E8E1-093F-4BC7-8EF5-CFA97A2363F1}" mentionId="{8FF2A287-716C-4AED-B155-78063DF664D3}" startIndex="0" length="13"/>
      <mention mentionpersonId="{4F0CDB79-B9DA-4D6E-8BC7-116852BFC4AC}" mentionId="{7F0E113E-8B48-4003-8402-84556B71EED9}" startIndex="68" length="13"/>
    </mentions>
  </threadedComment>
  <threadedComment ref="A25" dT="2025-04-29T15:02:35.33" personId="{5565A5B6-B6B9-49C7-A15F-39901EE6EBD0}" id="{FBF1BDDE-DA48-46FF-906E-EC9A28336046}" parentId="{EC676D48-391F-483D-8FFF-0D0CDE15FAA0}">
    <text xml:space="preserve">This figure was provided by Caryn, it was calculated 20 booths times three meals, (breakfast, lunch, breakfast). Please let me know if you would like me to adjust the numbers. </text>
  </threadedComment>
  <threadedComment ref="A25" dT="2025-04-29T18:33:24.85" personId="{C8C499FD-695C-4403-B83C-4EF518669727}" id="{93A8587E-66D7-44C7-9A3F-6F311C360EE5}" parentId="{EC676D48-391F-483D-8FFF-0D0CDE15FAA0}">
    <text>@James Soward then we will only account for 1 person per booth? I think ultimately a few extra people shouldn't make a difference, but if we do know exactly how many are attending, that would be helpful.</text>
    <mentions>
      <mention mentionpersonId="{4F0CDB79-B9DA-4D6E-8BC7-116852BFC4AC}" mentionId="{94FE8532-CEE8-42D9-B6CD-50E02628516E}" startIndex="0" length="13"/>
    </mentions>
  </threadedComment>
  <threadedComment ref="A25" dT="2025-05-12T20:23:01.61" personId="{094041ED-4836-E44C-8886-DEEA815A6C88}" id="{CDD86FAB-BAAD-E246-92F9-A6D22088AB3B}" parentId="{EC676D48-391F-483D-8FFF-0D0CDE15FAA0}">
    <text>@James Soward @Caryn De La Torre how many people are allowed per table? We are trying to figure out the count for food.</text>
    <mentions>
      <mention mentionpersonId="{4F0CDB79-B9DA-4D6E-8BC7-116852BFC4AC}" mentionId="{B364833A-E924-CA4C-B69A-83C3466B1422}" startIndex="0" length="13"/>
      <mention mentionpersonId="{8F9EF48A-530E-C44D-95AE-F92EBA4B329C}" mentionId="{63AAB2D9-6764-394C-8BD4-0404889A8791}" startIndex="14" length="18"/>
    </mentions>
  </threadedComment>
  <threadedComment ref="A48" dT="2025-04-29T20:55:29.17" personId="{C8C499FD-695C-4403-B83C-4EF518669727}" id="{97364CCA-DAD3-4612-88B5-6BBA839E1E7A}" done="1">
    <text>@Juan Robledo do we need to add the pretzels here?</text>
    <mentions>
      <mention mentionpersonId="{54C2E8E1-093F-4BC7-8EF5-CFA97A2363F1}" mentionId="{21971CC9-70FF-48C0-B360-AFDA233142E5}" startIndex="0" length="13"/>
    </mentions>
  </threadedComment>
  <threadedComment ref="A48" dT="2025-04-29T21:04:35.55" personId="{5565A5B6-B6B9-49C7-A15F-39901EE6EBD0}" id="{16CADE0A-C9CF-4729-8724-32F12971AFA7}" parentId="{97364CCA-DAD3-4612-88B5-6BBA839E1E7A}">
    <text xml:space="preserve">Yes, I can add this here. Can you please provide me with a rough estimate on how much I should order for Tuesday afternoon and Wednesday morning. </text>
  </threadedComment>
  <threadedComment ref="B61" dT="2025-04-29T18:38:31.33" personId="{C8C499FD-695C-4403-B83C-4EF518669727}" id="{4B2315B5-2988-4132-B610-22690C0DBC94}" done="1">
    <text xml:space="preserve">@Juan Robledo I don't believe that is the quote that told us verbally, that's why I was trying to confirm. @Beatrice Blake </text>
    <mentions>
      <mention mentionpersonId="{54C2E8E1-093F-4BC7-8EF5-CFA97A2363F1}" mentionId="{2AE049A4-C972-4777-B610-F1F5366C4C91}" startIndex="0" length="13"/>
      <mention mentionpersonId="{0046F123-2C1C-4281-B3DA-62346EE6F041}" mentionId="{8E449C9C-478C-42D0-AD0F-4F4D0FEBC7E8}" startIndex="107" length="15"/>
    </mentions>
  </threadedComment>
  <threadedComment ref="B61" dT="2025-04-29T20:34:21.41" personId="{5565A5B6-B6B9-49C7-A15F-39901EE6EBD0}" id="{FD7CD4CA-27EC-4C01-B032-FD111EF84EC3}" parentId="{4B2315B5-2988-4132-B610-22690C0DBC94}">
    <text>@Beatrice Blake can you please confirm the amount. Thank you.</text>
    <mentions>
      <mention mentionpersonId="{0046F123-2C1C-4281-B3DA-62346EE6F041}" mentionId="{9CC2E97F-91DE-4D72-9C81-FADA951599F5}" startIndex="0" length="15"/>
    </mentions>
  </threadedComment>
  <threadedComment ref="B61" dT="2025-04-29T21:46:29.38" personId="{5A28952B-FA07-484D-8460-70967B2E0053}" id="{A8BE2292-AF34-4B39-A927-98C26B111CF4}" parentId="{4B2315B5-2988-4132-B610-22690C0DBC94}">
    <text>The only price in question that is different than what we discussed is the last custom option in the amount of $4,500. I sent Brian an email but he is out of the office. The $2,000 and $3,000 quote is what we discussed at the in-person meeting on Thrusday--and that's the discounted rate.</text>
  </threadedComment>
  <threadedComment ref="A75" dT="2025-04-30T23:22:16.61" personId="{C8C499FD-695C-4403-B83C-4EF518669727}" id="{1F1B1073-A9AB-4B74-89DE-40AD99DC80C1}" done="1">
    <text>@Juan Robledo I know you spoke with Beatrice, when you have a chance, please add Lauren Cruz De Armas, the student poet. for $250</text>
    <mentions>
      <mention mentionpersonId="{54C2E8E1-093F-4BC7-8EF5-CFA97A2363F1}" mentionId="{67CF6F76-D978-4BBF-8629-566ACDA63E3C}" startIndex="0" length="13"/>
    </mentions>
  </threadedComment>
  <threadedComment ref="D97" dT="2025-04-29T18:39:04.45" personId="{C8C499FD-695C-4403-B83C-4EF518669727}" id="{224E2BA3-E59E-4E78-80CE-F40F762572CF}" done="1">
    <text>@Juan Robledo Add Breakeven point</text>
    <mentions>
      <mention mentionpersonId="{54C2E8E1-093F-4BC7-8EF5-CFA97A2363F1}" mentionId="{A5044A8F-7846-4D7A-B167-08A665AE24EC}" startIndex="0" length="13"/>
    </mentions>
  </threadedComment>
  <threadedComment ref="D97" dT="2025-04-29T20:32:58.57" personId="{5565A5B6-B6B9-49C7-A15F-39901EE6EBD0}" id="{1666A5BD-8979-436B-B262-CE4AB05ABBDE}" parentId="{224E2BA3-E59E-4E78-80CE-F40F762572CF}">
    <text>@Farrah Northcott The cell was hidden. Here it is.</text>
    <mentions>
      <mention mentionpersonId="{FC946D2C-F757-4666-80E1-069D54584295}" mentionId="{FA433F4F-2D1D-482A-887F-0BDF41C41F54}" startIndex="0" length="17"/>
    </mentions>
  </threadedComment>
  <threadedComment ref="D100" dT="2025-05-06T06:47:41.37" personId="{C8C499FD-695C-4403-B83C-4EF518669727}" id="{3CB8A926-3E23-454E-9A35-BB9E3FDB54C9}" done="1">
    <text>@Juan Robledo is this an accurate breakeven point?</text>
    <mentions>
      <mention mentionpersonId="{54C2E8E1-093F-4BC7-8EF5-CFA97A2363F1}" mentionId="{E67816E3-C0B7-4940-86C8-EC859AB3DACE}" startIndex="0" length="13"/>
    </mentions>
  </threadedComment>
  <threadedComment ref="D100" dT="2025-05-06T16:09:24.25" personId="{CEDFD345-F20B-4289-9512-E10C725C2E3E}" id="{0B3E8ADB-A0D3-429F-B9C2-C97FAF090025}" parentId="{3CB8A926-3E23-454E-9A35-BB9E3FDB54C9}">
    <text xml:space="preserve">As of this morning, the breakeven point is 556 of paid attendees. </text>
  </threadedComment>
  <threadedComment ref="D100" dT="2025-05-06T16:25:31.29" personId="{C8C499FD-695C-4403-B83C-4EF518669727}" id="{3048D4F0-7B49-4AC4-AEEC-4547B60F7944}" parentId="{3CB8A926-3E23-454E-9A35-BB9E3FDB54C9}">
    <text>can you make it for total registrations. Right notw it doesn't make sense if we have met the breakeven but we are $125k under water</text>
  </threadedComment>
  <threadedComment ref="D100" dT="2025-05-06T17:33:50.05" personId="{5565A5B6-B6B9-49C7-A15F-39901EE6EBD0}" id="{CB06AD7E-9CC6-4543-85C9-AEC8AC9C56CA}" parentId="{3CB8A926-3E23-454E-9A35-BB9E3FDB54C9}">
    <text>I'm sorry Farrah, I don't think I understand. Can we discuss this further in person?</text>
  </threadedComment>
  <threadedComment ref="D100" dT="2025-05-06T18:08:17.36" personId="{C8C499FD-695C-4403-B83C-4EF518669727}" id="{E366EF5D-47CB-4C83-81BD-29E539EE0530}" parentId="{3CB8A926-3E23-454E-9A35-BB9E3FDB54C9}">
    <text>can you come to my office?</text>
  </threadedComment>
  <threadedComment ref="C117" dT="2025-04-29T18:39:25.86" personId="{C8C499FD-695C-4403-B83C-4EF518669727}" id="{FC4B7335-E0CB-4065-B64E-205D8D34FE4B}">
    <text>@Juan Robledo Add: Disney Institute, tote bags to the sponsorship please</text>
    <mentions>
      <mention mentionpersonId="{54C2E8E1-093F-4BC7-8EF5-CFA97A2363F1}" mentionId="{D15D771F-11BD-4F69-AC29-3BFE367034EA}" startIndex="0" length="13"/>
    </mentions>
  </threadedComment>
  <threadedComment ref="C117" dT="2025-04-29T20:31:59.84" personId="{5565A5B6-B6B9-49C7-A15F-39901EE6EBD0}" id="{BC3EF81B-8929-4BD3-8427-3A2B4D3A1BA9}" parentId="{FC4B7335-E0CB-4065-B64E-205D8D34FE4B}">
    <text>@James Soward Can you please let me know how much the totes cost. Thanks.</text>
    <mentions>
      <mention mentionpersonId="{4F0CDB79-B9DA-4D6E-8BC7-116852BFC4AC}" mentionId="{5244D79E-214E-4760-860D-87C7FBD25D72}" startIndex="0" length="13"/>
    </mentions>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 Id="rId4" Type="http://schemas.microsoft.com/office/2017/10/relationships/threadedComment" Target="../threadedComments/threadedComment2.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 Id="rId4" Type="http://schemas.microsoft.com/office/2017/10/relationships/threadedComment" Target="../threadedComments/threadedComment3.xml"/></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 Id="rId5" Type="http://schemas.microsoft.com/office/2019/04/relationships/documenttask" Target="../documenttasks/documenttask1.xml"/><Relationship Id="rId4" Type="http://schemas.microsoft.com/office/2017/10/relationships/threadedComment" Target="../threadedComments/threadedComment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B03EB1-FBDD-49FE-BE10-3527272E0416}">
  <sheetPr>
    <pageSetUpPr fitToPage="1"/>
  </sheetPr>
  <dimension ref="A1:J63"/>
  <sheetViews>
    <sheetView showGridLines="0" topLeftCell="A25" zoomScale="130" zoomScaleNormal="130" workbookViewId="0">
      <selection activeCell="B40" sqref="B40"/>
    </sheetView>
  </sheetViews>
  <sheetFormatPr defaultColWidth="8.88671875" defaultRowHeight="14.4" x14ac:dyDescent="0.3"/>
  <cols>
    <col min="1" max="1" width="39" bestFit="1" customWidth="1"/>
    <col min="2" max="2" width="48.44140625" style="22" bestFit="1" customWidth="1"/>
    <col min="3" max="3" width="14.44140625" style="22" bestFit="1" customWidth="1"/>
    <col min="6" max="7" width="0" hidden="1" customWidth="1"/>
    <col min="8" max="8" width="10" hidden="1" customWidth="1"/>
  </cols>
  <sheetData>
    <row r="1" spans="1:5" ht="28.8" x14ac:dyDescent="0.3">
      <c r="A1" s="202" t="s">
        <v>0</v>
      </c>
      <c r="B1" s="203"/>
      <c r="C1" s="204"/>
    </row>
    <row r="2" spans="1:5" ht="15.6" x14ac:dyDescent="0.3">
      <c r="A2" s="5" t="s">
        <v>1</v>
      </c>
      <c r="B2" s="6" t="s">
        <v>2</v>
      </c>
      <c r="C2" s="7"/>
    </row>
    <row r="3" spans="1:5" ht="15.6" x14ac:dyDescent="0.3">
      <c r="A3" s="8" t="s">
        <v>3</v>
      </c>
      <c r="B3" s="9">
        <v>185000</v>
      </c>
      <c r="C3" s="199">
        <f>((B4+B5+B6)*B3)+B3</f>
        <v>241887.5</v>
      </c>
      <c r="E3" t="s">
        <v>4</v>
      </c>
    </row>
    <row r="4" spans="1:5" ht="15.6" x14ac:dyDescent="0.3">
      <c r="A4" s="8" t="s">
        <v>5</v>
      </c>
      <c r="B4" s="10">
        <v>5.5E-2</v>
      </c>
      <c r="C4" s="201"/>
      <c r="E4" t="s">
        <v>6</v>
      </c>
    </row>
    <row r="5" spans="1:5" ht="15.6" x14ac:dyDescent="0.3">
      <c r="A5" s="8" t="s">
        <v>7</v>
      </c>
      <c r="B5" s="10">
        <v>0.17499999999999999</v>
      </c>
      <c r="C5" s="201"/>
      <c r="E5" t="s">
        <v>8</v>
      </c>
    </row>
    <row r="6" spans="1:5" ht="15.6" x14ac:dyDescent="0.3">
      <c r="A6" s="8" t="s">
        <v>9</v>
      </c>
      <c r="B6" s="10">
        <v>7.7499999999999999E-2</v>
      </c>
      <c r="C6" s="200"/>
      <c r="E6" t="s">
        <v>10</v>
      </c>
    </row>
    <row r="7" spans="1:5" ht="15.6" x14ac:dyDescent="0.3">
      <c r="A7" s="8" t="s">
        <v>11</v>
      </c>
      <c r="B7" s="9" t="s">
        <v>12</v>
      </c>
      <c r="C7" s="27">
        <v>125000</v>
      </c>
    </row>
    <row r="8" spans="1:5" ht="15.6" x14ac:dyDescent="0.3">
      <c r="A8" s="8" t="s">
        <v>13</v>
      </c>
      <c r="B8" s="9" t="s">
        <v>12</v>
      </c>
      <c r="C8" s="27">
        <v>75000</v>
      </c>
    </row>
    <row r="9" spans="1:5" ht="15.6" x14ac:dyDescent="0.3">
      <c r="A9" s="8" t="s">
        <v>14</v>
      </c>
      <c r="B9" s="9" t="s">
        <v>12</v>
      </c>
      <c r="C9" s="27">
        <v>1500</v>
      </c>
    </row>
    <row r="10" spans="1:5" ht="15.6" x14ac:dyDescent="0.3">
      <c r="A10" s="8" t="s">
        <v>15</v>
      </c>
      <c r="B10" s="9" t="s">
        <v>12</v>
      </c>
      <c r="C10" s="27">
        <v>2500</v>
      </c>
    </row>
    <row r="11" spans="1:5" ht="15.6" x14ac:dyDescent="0.3">
      <c r="A11" s="8" t="s">
        <v>16</v>
      </c>
      <c r="B11" s="9" t="s">
        <v>17</v>
      </c>
      <c r="C11" s="27">
        <f>1800*6</f>
        <v>10800</v>
      </c>
    </row>
    <row r="12" spans="1:5" ht="15.6" x14ac:dyDescent="0.3">
      <c r="A12" s="8" t="s">
        <v>18</v>
      </c>
      <c r="B12" s="9" t="s">
        <v>12</v>
      </c>
      <c r="C12" s="27">
        <v>5000</v>
      </c>
    </row>
    <row r="13" spans="1:5" ht="15.6" x14ac:dyDescent="0.3">
      <c r="A13" s="8" t="s">
        <v>19</v>
      </c>
      <c r="B13" s="9" t="s">
        <v>12</v>
      </c>
      <c r="C13" s="28">
        <v>13000</v>
      </c>
    </row>
    <row r="14" spans="1:5" ht="15.6" x14ac:dyDescent="0.3">
      <c r="A14" s="8" t="s">
        <v>20</v>
      </c>
      <c r="B14" s="9" t="s">
        <v>12</v>
      </c>
      <c r="C14" s="28">
        <v>15500</v>
      </c>
    </row>
    <row r="15" spans="1:5" ht="15.6" x14ac:dyDescent="0.3">
      <c r="A15" s="8" t="s">
        <v>21</v>
      </c>
      <c r="B15" s="9" t="s">
        <v>12</v>
      </c>
      <c r="C15" s="28">
        <v>60000</v>
      </c>
    </row>
    <row r="16" spans="1:5" ht="15.6" x14ac:dyDescent="0.3">
      <c r="A16" s="8" t="s">
        <v>22</v>
      </c>
      <c r="B16" s="9" t="s">
        <v>23</v>
      </c>
      <c r="C16" s="28">
        <v>10000</v>
      </c>
    </row>
    <row r="17" spans="1:9" ht="15.6" x14ac:dyDescent="0.3">
      <c r="A17" s="11" t="s">
        <v>24</v>
      </c>
      <c r="B17" s="9" t="s">
        <v>25</v>
      </c>
      <c r="C17" s="28">
        <f>100*200</f>
        <v>20000</v>
      </c>
    </row>
    <row r="18" spans="1:9" ht="15.6" x14ac:dyDescent="0.3">
      <c r="A18" s="11" t="s">
        <v>26</v>
      </c>
      <c r="B18" s="9" t="s">
        <v>27</v>
      </c>
      <c r="C18" s="28">
        <f>3*1000</f>
        <v>3000</v>
      </c>
    </row>
    <row r="19" spans="1:9" ht="15.6" x14ac:dyDescent="0.3">
      <c r="A19" s="11" t="s">
        <v>28</v>
      </c>
      <c r="B19" s="9" t="s">
        <v>29</v>
      </c>
      <c r="C19" s="28">
        <f>2*2500</f>
        <v>5000</v>
      </c>
    </row>
    <row r="20" spans="1:9" ht="15.6" x14ac:dyDescent="0.3">
      <c r="A20" s="11" t="s">
        <v>30</v>
      </c>
      <c r="B20" s="9" t="s">
        <v>31</v>
      </c>
      <c r="C20" s="28">
        <v>37500</v>
      </c>
    </row>
    <row r="21" spans="1:9" ht="15.6" x14ac:dyDescent="0.3">
      <c r="A21" s="11" t="s">
        <v>32</v>
      </c>
      <c r="B21" s="9" t="s">
        <v>33</v>
      </c>
      <c r="C21" s="28">
        <v>0</v>
      </c>
    </row>
    <row r="22" spans="1:9" ht="15.6" x14ac:dyDescent="0.3">
      <c r="A22" s="8" t="s">
        <v>34</v>
      </c>
      <c r="B22" s="9">
        <v>239</v>
      </c>
      <c r="C22" s="199">
        <f>H25*(B23+B24)+H25</f>
        <v>31757.309999999998</v>
      </c>
    </row>
    <row r="23" spans="1:9" ht="15.6" x14ac:dyDescent="0.3">
      <c r="A23" s="8" t="s">
        <v>35</v>
      </c>
      <c r="B23" s="12">
        <v>0.15</v>
      </c>
      <c r="C23" s="201"/>
      <c r="F23">
        <f>4+4+5+5+5+5+5+5+5+4+5+4+4+4</f>
        <v>64</v>
      </c>
      <c r="G23" s="26">
        <v>239</v>
      </c>
      <c r="H23" s="26">
        <f>F23*G23</f>
        <v>15296</v>
      </c>
      <c r="I23" s="26"/>
    </row>
    <row r="24" spans="1:9" ht="15.6" x14ac:dyDescent="0.3">
      <c r="A24" s="8" t="s">
        <v>36</v>
      </c>
      <c r="B24" s="12">
        <v>0.02</v>
      </c>
      <c r="C24" s="200"/>
      <c r="F24">
        <f>5+3+5+5+5+5+5</f>
        <v>33</v>
      </c>
      <c r="G24" s="26">
        <v>359</v>
      </c>
      <c r="H24" s="26">
        <f>F24*G24</f>
        <v>11847</v>
      </c>
      <c r="I24" s="26"/>
    </row>
    <row r="25" spans="1:9" ht="15.6" x14ac:dyDescent="0.3">
      <c r="A25" s="8" t="s">
        <v>37</v>
      </c>
      <c r="B25" s="9">
        <v>35</v>
      </c>
      <c r="C25" s="199">
        <f>((B25*B26)+B25)*97</f>
        <v>3972.15</v>
      </c>
      <c r="F25">
        <f>SUM(F23:F24)</f>
        <v>97</v>
      </c>
      <c r="G25" s="26"/>
      <c r="H25" s="26">
        <f>SUM(H23:H24)</f>
        <v>27143</v>
      </c>
      <c r="I25" s="26"/>
    </row>
    <row r="26" spans="1:9" ht="15.6" x14ac:dyDescent="0.3">
      <c r="A26" s="8" t="s">
        <v>38</v>
      </c>
      <c r="B26" s="12">
        <v>0.17</v>
      </c>
      <c r="C26" s="200"/>
    </row>
    <row r="27" spans="1:9" ht="15.6" x14ac:dyDescent="0.3">
      <c r="A27" s="8" t="s">
        <v>39</v>
      </c>
      <c r="B27" s="9" t="s">
        <v>12</v>
      </c>
      <c r="C27" s="29">
        <v>500</v>
      </c>
    </row>
    <row r="28" spans="1:9" ht="15.6" x14ac:dyDescent="0.3">
      <c r="A28" s="11" t="s">
        <v>40</v>
      </c>
      <c r="B28" s="9" t="s">
        <v>12</v>
      </c>
      <c r="C28" s="28">
        <v>20000</v>
      </c>
    </row>
    <row r="29" spans="1:9" ht="15.6" x14ac:dyDescent="0.3">
      <c r="A29" s="8" t="s">
        <v>41</v>
      </c>
      <c r="B29" s="9" t="s">
        <v>42</v>
      </c>
      <c r="C29" s="27">
        <v>3000</v>
      </c>
    </row>
    <row r="30" spans="1:9" ht="15.6" x14ac:dyDescent="0.3">
      <c r="A30" s="8" t="s">
        <v>43</v>
      </c>
      <c r="B30" s="9" t="s">
        <v>44</v>
      </c>
      <c r="C30" s="27">
        <v>2850</v>
      </c>
    </row>
    <row r="31" spans="1:9" ht="15.6" x14ac:dyDescent="0.3">
      <c r="A31" s="8" t="s">
        <v>45</v>
      </c>
      <c r="B31" s="9" t="s">
        <v>12</v>
      </c>
      <c r="C31" s="27">
        <v>5000</v>
      </c>
    </row>
    <row r="32" spans="1:9" ht="15.6" x14ac:dyDescent="0.3">
      <c r="A32" s="8" t="s">
        <v>46</v>
      </c>
      <c r="B32" s="9" t="s">
        <v>47</v>
      </c>
      <c r="C32" s="27">
        <f>10*83</f>
        <v>830</v>
      </c>
    </row>
    <row r="33" spans="1:10" ht="15.6" x14ac:dyDescent="0.3">
      <c r="A33" s="8" t="s">
        <v>48</v>
      </c>
      <c r="B33" s="9" t="s">
        <v>12</v>
      </c>
      <c r="C33" s="27">
        <v>5000</v>
      </c>
    </row>
    <row r="34" spans="1:10" ht="15.6" x14ac:dyDescent="0.3">
      <c r="A34" s="13" t="s">
        <v>49</v>
      </c>
      <c r="B34" s="9" t="s">
        <v>12</v>
      </c>
      <c r="C34" s="29">
        <v>5000</v>
      </c>
    </row>
    <row r="35" spans="1:10" ht="15.6" x14ac:dyDescent="0.3">
      <c r="A35" s="13" t="s">
        <v>50</v>
      </c>
      <c r="B35" s="9" t="s">
        <v>51</v>
      </c>
      <c r="C35" s="29">
        <v>3500</v>
      </c>
    </row>
    <row r="36" spans="1:10" ht="15.6" x14ac:dyDescent="0.3">
      <c r="A36" s="8" t="s">
        <v>52</v>
      </c>
      <c r="B36" s="9" t="s">
        <v>53</v>
      </c>
      <c r="C36" s="27">
        <v>2500</v>
      </c>
    </row>
    <row r="37" spans="1:10" ht="15.6" x14ac:dyDescent="0.3">
      <c r="A37" s="24" t="s">
        <v>54</v>
      </c>
      <c r="B37" s="9" t="s">
        <v>55</v>
      </c>
      <c r="C37" s="27">
        <v>400</v>
      </c>
    </row>
    <row r="38" spans="1:10" ht="15.6" x14ac:dyDescent="0.3">
      <c r="A38" s="24" t="s">
        <v>56</v>
      </c>
      <c r="B38" s="9" t="s">
        <v>57</v>
      </c>
      <c r="C38" s="27">
        <f>3*500</f>
        <v>1500</v>
      </c>
    </row>
    <row r="39" spans="1:10" ht="15.6" x14ac:dyDescent="0.3">
      <c r="A39" s="24" t="s">
        <v>58</v>
      </c>
      <c r="B39" s="9" t="s">
        <v>59</v>
      </c>
      <c r="C39" s="27">
        <v>2500</v>
      </c>
    </row>
    <row r="40" spans="1:10" ht="15.6" x14ac:dyDescent="0.3">
      <c r="A40" s="24" t="s">
        <v>60</v>
      </c>
      <c r="B40" s="9"/>
      <c r="C40" s="27"/>
    </row>
    <row r="41" spans="1:10" ht="15.6" x14ac:dyDescent="0.3">
      <c r="A41" s="24"/>
      <c r="B41" s="9"/>
      <c r="C41" s="27"/>
    </row>
    <row r="42" spans="1:10" ht="15.6" x14ac:dyDescent="0.3">
      <c r="A42" s="14"/>
      <c r="B42" s="15" t="s">
        <v>61</v>
      </c>
      <c r="C42" s="16">
        <f>SUM(C3:C41)</f>
        <v>713996.96000000008</v>
      </c>
    </row>
    <row r="43" spans="1:10" ht="15.6" x14ac:dyDescent="0.3">
      <c r="A43" s="14"/>
      <c r="B43" s="17" t="s">
        <v>62</v>
      </c>
      <c r="C43" s="16">
        <f>C42*8.5%</f>
        <v>60689.741600000008</v>
      </c>
      <c r="G43" s="23"/>
      <c r="H43" s="23"/>
      <c r="I43" s="23"/>
      <c r="J43" s="23"/>
    </row>
    <row r="44" spans="1:10" ht="15.6" x14ac:dyDescent="0.3">
      <c r="A44" s="18"/>
      <c r="B44" s="19" t="s">
        <v>63</v>
      </c>
      <c r="C44" s="20">
        <f>SUM(C42:C43)</f>
        <v>774686.70160000003</v>
      </c>
      <c r="G44" s="23"/>
      <c r="H44" s="23"/>
      <c r="I44" s="23"/>
      <c r="J44" s="23"/>
    </row>
    <row r="45" spans="1:10" ht="15.6" x14ac:dyDescent="0.3">
      <c r="B45" s="21"/>
      <c r="G45" s="23"/>
      <c r="H45" s="23"/>
      <c r="I45" s="23"/>
      <c r="J45" s="23"/>
    </row>
    <row r="46" spans="1:10" s="23" customFormat="1" ht="15.6" x14ac:dyDescent="0.3">
      <c r="A46" s="205" t="s">
        <v>64</v>
      </c>
      <c r="B46" s="205"/>
      <c r="C46" s="205"/>
    </row>
    <row r="47" spans="1:10" s="23" customFormat="1" ht="15.6" x14ac:dyDescent="0.3">
      <c r="A47" s="24" t="s">
        <v>65</v>
      </c>
      <c r="B47" s="25" t="s">
        <v>66</v>
      </c>
      <c r="C47" s="25">
        <f>500*749</f>
        <v>374500</v>
      </c>
    </row>
    <row r="48" spans="1:10" s="23" customFormat="1" ht="15.6" x14ac:dyDescent="0.3">
      <c r="A48" s="24" t="s">
        <v>67</v>
      </c>
      <c r="B48" s="25" t="s">
        <v>68</v>
      </c>
      <c r="C48" s="25">
        <f>500*849</f>
        <v>424500</v>
      </c>
    </row>
    <row r="49" spans="1:10" s="23" customFormat="1" ht="15.6" x14ac:dyDescent="0.3">
      <c r="A49" s="24" t="s">
        <v>69</v>
      </c>
      <c r="B49" s="25" t="s">
        <v>70</v>
      </c>
      <c r="C49" s="25">
        <f>150*179</f>
        <v>26850</v>
      </c>
    </row>
    <row r="50" spans="1:10" s="23" customFormat="1" ht="15.6" x14ac:dyDescent="0.3">
      <c r="A50" s="24" t="s">
        <v>71</v>
      </c>
      <c r="B50" s="25"/>
      <c r="C50" s="25">
        <v>150000</v>
      </c>
    </row>
    <row r="51" spans="1:10" s="23" customFormat="1" ht="15.6" x14ac:dyDescent="0.3">
      <c r="A51" s="24" t="s">
        <v>72</v>
      </c>
      <c r="B51" s="25"/>
      <c r="C51" s="25">
        <v>15000</v>
      </c>
    </row>
    <row r="52" spans="1:10" s="23" customFormat="1" ht="15.6" x14ac:dyDescent="0.3">
      <c r="A52" s="24" t="s">
        <v>73</v>
      </c>
      <c r="B52" s="25"/>
      <c r="C52" s="25">
        <v>20000</v>
      </c>
    </row>
    <row r="53" spans="1:10" s="23" customFormat="1" ht="15.6" x14ac:dyDescent="0.3">
      <c r="A53" s="24" t="s">
        <v>74</v>
      </c>
      <c r="B53" s="25"/>
      <c r="C53" s="25">
        <v>10000</v>
      </c>
    </row>
    <row r="54" spans="1:10" s="23" customFormat="1" ht="15.6" x14ac:dyDescent="0.3">
      <c r="A54" s="24" t="s">
        <v>75</v>
      </c>
      <c r="B54" s="25"/>
      <c r="C54" s="25"/>
    </row>
    <row r="55" spans="1:10" s="23" customFormat="1" ht="15.6" x14ac:dyDescent="0.3">
      <c r="A55" s="24" t="s">
        <v>76</v>
      </c>
      <c r="B55" s="25"/>
      <c r="C55" s="25">
        <v>15000</v>
      </c>
    </row>
    <row r="56" spans="1:10" s="23" customFormat="1" ht="15.6" x14ac:dyDescent="0.3">
      <c r="A56" s="24"/>
      <c r="B56" s="25"/>
      <c r="C56" s="25"/>
    </row>
    <row r="57" spans="1:10" s="23" customFormat="1" ht="15.6" x14ac:dyDescent="0.3">
      <c r="A57" s="206" t="s">
        <v>77</v>
      </c>
      <c r="B57" s="207"/>
      <c r="C57" s="25">
        <f>SUM(C47:C56)</f>
        <v>1035850</v>
      </c>
    </row>
    <row r="58" spans="1:10" s="23" customFormat="1" ht="15.6" x14ac:dyDescent="0.3">
      <c r="A58" s="206"/>
      <c r="B58" s="207"/>
      <c r="C58" s="25"/>
    </row>
    <row r="59" spans="1:10" s="23" customFormat="1" ht="15.6" x14ac:dyDescent="0.3">
      <c r="A59" s="206"/>
      <c r="B59" s="207"/>
      <c r="C59" s="25"/>
    </row>
    <row r="60" spans="1:10" s="23" customFormat="1" ht="15.6" x14ac:dyDescent="0.3">
      <c r="A60" s="206" t="s">
        <v>78</v>
      </c>
      <c r="B60" s="207"/>
      <c r="C60" s="25">
        <f>C44</f>
        <v>774686.70160000003</v>
      </c>
    </row>
    <row r="61" spans="1:10" s="23" customFormat="1" ht="15.6" x14ac:dyDescent="0.3">
      <c r="A61" s="206" t="s">
        <v>79</v>
      </c>
      <c r="B61" s="207"/>
      <c r="C61" s="25">
        <f>C57</f>
        <v>1035850</v>
      </c>
      <c r="G61"/>
      <c r="H61"/>
      <c r="I61"/>
      <c r="J61"/>
    </row>
    <row r="62" spans="1:10" s="23" customFormat="1" ht="15.6" x14ac:dyDescent="0.3">
      <c r="A62" s="206"/>
      <c r="B62" s="207"/>
      <c r="C62" s="25"/>
      <c r="G62"/>
      <c r="H62"/>
      <c r="I62"/>
      <c r="J62"/>
    </row>
    <row r="63" spans="1:10" s="23" customFormat="1" ht="15.6" x14ac:dyDescent="0.3">
      <c r="A63" s="208" t="s">
        <v>80</v>
      </c>
      <c r="B63" s="209"/>
      <c r="C63" s="25">
        <f>C61-C60</f>
        <v>261163.29839999997</v>
      </c>
      <c r="G63"/>
      <c r="H63"/>
      <c r="I63"/>
      <c r="J63"/>
    </row>
  </sheetData>
  <mergeCells count="12">
    <mergeCell ref="A57:B57"/>
    <mergeCell ref="A60:B60"/>
    <mergeCell ref="A61:B61"/>
    <mergeCell ref="A63:B63"/>
    <mergeCell ref="A58:B58"/>
    <mergeCell ref="A59:B59"/>
    <mergeCell ref="A62:B62"/>
    <mergeCell ref="C25:C26"/>
    <mergeCell ref="C22:C24"/>
    <mergeCell ref="A1:C1"/>
    <mergeCell ref="C3:C6"/>
    <mergeCell ref="A46:C46"/>
  </mergeCells>
  <printOptions horizontalCentered="1"/>
  <pageMargins left="0.25" right="0.25" top="0.75" bottom="0.75" header="0.3" footer="0.3"/>
  <pageSetup scale="7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50B26F-0732-4F49-B312-1A0DDE7804BF}">
  <sheetPr>
    <pageSetUpPr fitToPage="1"/>
  </sheetPr>
  <dimension ref="A1:AC175"/>
  <sheetViews>
    <sheetView topLeftCell="A89" zoomScale="110" zoomScaleNormal="110" workbookViewId="0">
      <pane xSplit="1" topLeftCell="T1" activePane="topRight" state="frozen"/>
      <selection pane="topRight" activeCell="T118" sqref="T118"/>
    </sheetView>
  </sheetViews>
  <sheetFormatPr defaultColWidth="8.88671875" defaultRowHeight="13.8" x14ac:dyDescent="0.25"/>
  <cols>
    <col min="1" max="1" width="60.88671875" style="34" customWidth="1"/>
    <col min="2" max="2" width="18.5546875" style="35" customWidth="1"/>
    <col min="3" max="3" width="9.5546875" style="35" customWidth="1"/>
    <col min="4" max="4" width="10.109375" style="34" customWidth="1"/>
    <col min="5" max="5" width="11.44140625" style="34" customWidth="1"/>
    <col min="6" max="6" width="11.5546875" style="34" customWidth="1"/>
    <col min="7" max="7" width="12.5546875" style="34" customWidth="1"/>
    <col min="8" max="8" width="13.5546875" style="34" customWidth="1"/>
    <col min="9" max="9" width="14.44140625" style="34" customWidth="1"/>
    <col min="10" max="11" width="11.44140625" style="34" customWidth="1"/>
    <col min="12" max="12" width="12.5546875" style="34" customWidth="1"/>
    <col min="13" max="13" width="11.44140625" style="34" customWidth="1"/>
    <col min="14" max="14" width="12.5546875" style="34" customWidth="1"/>
    <col min="15" max="15" width="11.44140625" style="34" customWidth="1"/>
    <col min="16" max="16" width="15.44140625" style="34" customWidth="1"/>
    <col min="17" max="17" width="12.5546875" style="34" customWidth="1"/>
    <col min="18" max="18" width="4.44140625" style="34" customWidth="1"/>
    <col min="19" max="20" width="13" style="34" bestFit="1" customWidth="1"/>
    <col min="21" max="21" width="12.44140625" style="34" bestFit="1" customWidth="1"/>
    <col min="22" max="22" width="11.109375" style="34" customWidth="1"/>
    <col min="23" max="23" width="46.44140625" style="34" bestFit="1" customWidth="1"/>
    <col min="24" max="24" width="27.88671875" style="34" bestFit="1" customWidth="1"/>
    <col min="25" max="28" width="8.88671875" style="34"/>
    <col min="29" max="29" width="7.44140625" style="34" customWidth="1"/>
    <col min="30" max="16384" width="8.88671875" style="34"/>
  </cols>
  <sheetData>
    <row r="1" spans="1:22" s="31" customFormat="1" ht="15" x14ac:dyDescent="0.25">
      <c r="A1" s="53" t="s">
        <v>81</v>
      </c>
      <c r="B1" s="54" t="s">
        <v>82</v>
      </c>
      <c r="C1" s="72">
        <v>45170</v>
      </c>
      <c r="D1" s="72">
        <v>45200</v>
      </c>
      <c r="E1" s="72">
        <v>45231</v>
      </c>
      <c r="F1" s="72">
        <v>45261</v>
      </c>
      <c r="G1" s="72">
        <v>45292</v>
      </c>
      <c r="H1" s="72">
        <v>45323</v>
      </c>
      <c r="I1" s="72">
        <v>45352</v>
      </c>
      <c r="J1" s="72">
        <v>45383</v>
      </c>
      <c r="K1" s="72">
        <v>45413</v>
      </c>
      <c r="L1" s="72">
        <v>45444</v>
      </c>
      <c r="M1" s="72">
        <v>45474</v>
      </c>
      <c r="N1" s="72">
        <v>45505</v>
      </c>
      <c r="O1" s="72">
        <v>45536</v>
      </c>
      <c r="P1" s="72" t="s">
        <v>83</v>
      </c>
      <c r="Q1" s="73" t="s">
        <v>84</v>
      </c>
      <c r="R1" s="72"/>
      <c r="S1" s="74" t="s">
        <v>85</v>
      </c>
      <c r="T1" s="74" t="s">
        <v>82</v>
      </c>
      <c r="U1" s="74" t="s">
        <v>86</v>
      </c>
      <c r="V1" s="75" t="s">
        <v>87</v>
      </c>
    </row>
    <row r="2" spans="1:22" s="50" customFormat="1" ht="15" x14ac:dyDescent="0.25">
      <c r="A2" s="62" t="s">
        <v>88</v>
      </c>
      <c r="B2" s="63"/>
      <c r="C2" s="63"/>
      <c r="D2" s="64"/>
      <c r="E2" s="64"/>
      <c r="F2" s="64"/>
      <c r="G2" s="64"/>
      <c r="H2" s="64"/>
      <c r="I2" s="64"/>
      <c r="J2" s="64"/>
      <c r="K2" s="64"/>
      <c r="L2" s="64"/>
      <c r="M2" s="64"/>
      <c r="N2" s="64"/>
      <c r="O2" s="64"/>
      <c r="P2" s="64"/>
      <c r="Q2" s="64"/>
      <c r="R2" s="64"/>
      <c r="S2" s="64"/>
      <c r="T2" s="64"/>
      <c r="U2" s="64"/>
      <c r="V2" s="64"/>
    </row>
    <row r="3" spans="1:22" x14ac:dyDescent="0.25">
      <c r="A3" s="40" t="s">
        <v>54</v>
      </c>
      <c r="B3" s="41">
        <v>456</v>
      </c>
      <c r="C3" s="2">
        <v>0</v>
      </c>
      <c r="D3" s="2">
        <v>0</v>
      </c>
      <c r="E3" s="2">
        <v>0</v>
      </c>
      <c r="F3" s="2">
        <v>0</v>
      </c>
      <c r="G3" s="2">
        <v>0</v>
      </c>
      <c r="H3" s="2">
        <v>0</v>
      </c>
      <c r="I3" s="2">
        <v>0</v>
      </c>
      <c r="J3" s="2">
        <v>0</v>
      </c>
      <c r="K3" s="2">
        <v>0</v>
      </c>
      <c r="L3" s="2">
        <v>456</v>
      </c>
      <c r="M3" s="2">
        <v>0</v>
      </c>
      <c r="N3" s="2">
        <v>0</v>
      </c>
      <c r="O3" s="2"/>
      <c r="P3" s="2">
        <v>0</v>
      </c>
      <c r="Q3" s="2">
        <v>0</v>
      </c>
      <c r="R3" s="1"/>
      <c r="S3" s="3">
        <f t="shared" ref="S3:S10" si="0">SUM(C3:Q3)</f>
        <v>456</v>
      </c>
      <c r="T3" s="2">
        <f t="shared" ref="T3:T10" si="1">B3</f>
        <v>456</v>
      </c>
      <c r="U3" s="3">
        <f>T3-S3</f>
        <v>0</v>
      </c>
      <c r="V3" s="4">
        <f>IFERROR(U3/T3,0)</f>
        <v>0</v>
      </c>
    </row>
    <row r="4" spans="1:22" x14ac:dyDescent="0.25">
      <c r="A4" s="40" t="s">
        <v>89</v>
      </c>
      <c r="B4" s="41">
        <v>160</v>
      </c>
      <c r="C4" s="2">
        <v>0</v>
      </c>
      <c r="D4" s="2">
        <v>0</v>
      </c>
      <c r="E4" s="2">
        <v>0</v>
      </c>
      <c r="F4" s="2">
        <v>0</v>
      </c>
      <c r="G4" s="2">
        <v>0</v>
      </c>
      <c r="H4" s="2">
        <v>159.94999999999999</v>
      </c>
      <c r="I4" s="2">
        <v>0</v>
      </c>
      <c r="J4" s="2">
        <v>0</v>
      </c>
      <c r="K4" s="2">
        <v>23.17</v>
      </c>
      <c r="L4" s="2">
        <v>67.400000000000006</v>
      </c>
      <c r="M4" s="2">
        <v>0</v>
      </c>
      <c r="N4" s="2">
        <v>0</v>
      </c>
      <c r="O4" s="2">
        <v>0</v>
      </c>
      <c r="P4" s="2">
        <v>0</v>
      </c>
      <c r="Q4" s="2">
        <v>0</v>
      </c>
      <c r="R4" s="1"/>
      <c r="S4" s="3">
        <f t="shared" si="0"/>
        <v>250.52</v>
      </c>
      <c r="T4" s="2">
        <f t="shared" si="1"/>
        <v>160</v>
      </c>
      <c r="U4" s="3">
        <f t="shared" ref="U4:U10" si="2">T4-S4</f>
        <v>-90.52000000000001</v>
      </c>
      <c r="V4" s="4">
        <f t="shared" ref="V4:V10" si="3">IFERROR(U4/T4,0)</f>
        <v>-0.56575000000000009</v>
      </c>
    </row>
    <row r="5" spans="1:22" x14ac:dyDescent="0.25">
      <c r="A5" s="40" t="s">
        <v>90</v>
      </c>
      <c r="B5" s="41">
        <v>830</v>
      </c>
      <c r="C5" s="2">
        <v>0</v>
      </c>
      <c r="D5" s="2">
        <v>0</v>
      </c>
      <c r="E5" s="2">
        <v>0</v>
      </c>
      <c r="F5" s="2">
        <v>0</v>
      </c>
      <c r="G5" s="2">
        <v>280</v>
      </c>
      <c r="H5" s="2">
        <v>0</v>
      </c>
      <c r="I5" s="2">
        <v>0</v>
      </c>
      <c r="J5" s="2">
        <v>470</v>
      </c>
      <c r="K5" s="2">
        <v>0</v>
      </c>
      <c r="L5" s="2">
        <v>210</v>
      </c>
      <c r="M5" s="2">
        <v>0</v>
      </c>
      <c r="N5" s="2">
        <v>0</v>
      </c>
      <c r="O5" s="2">
        <v>0</v>
      </c>
      <c r="P5" s="2">
        <v>0</v>
      </c>
      <c r="Q5" s="2">
        <v>0</v>
      </c>
      <c r="R5" s="1"/>
      <c r="S5" s="3">
        <f t="shared" si="0"/>
        <v>960</v>
      </c>
      <c r="T5" s="2">
        <f t="shared" si="1"/>
        <v>830</v>
      </c>
      <c r="U5" s="3">
        <f t="shared" si="2"/>
        <v>-130</v>
      </c>
      <c r="V5" s="4">
        <f t="shared" si="3"/>
        <v>-0.15662650602409639</v>
      </c>
    </row>
    <row r="6" spans="1:22" x14ac:dyDescent="0.25">
      <c r="A6" s="40" t="s">
        <v>91</v>
      </c>
      <c r="B6" s="41">
        <v>4350</v>
      </c>
      <c r="C6" s="2">
        <v>0</v>
      </c>
      <c r="D6" s="2">
        <v>0</v>
      </c>
      <c r="E6" s="2">
        <v>0</v>
      </c>
      <c r="F6" s="2">
        <v>0</v>
      </c>
      <c r="G6" s="2">
        <v>0</v>
      </c>
      <c r="H6" s="2">
        <v>0</v>
      </c>
      <c r="I6" s="2">
        <v>0</v>
      </c>
      <c r="J6" s="2">
        <v>0</v>
      </c>
      <c r="K6" s="2">
        <v>0</v>
      </c>
      <c r="L6" s="2">
        <v>5164.54</v>
      </c>
      <c r="M6" s="2">
        <v>0</v>
      </c>
      <c r="N6" s="2">
        <v>0</v>
      </c>
      <c r="O6" s="2">
        <v>0</v>
      </c>
      <c r="P6" s="2">
        <v>0</v>
      </c>
      <c r="Q6" s="2">
        <v>0</v>
      </c>
      <c r="R6" s="1"/>
      <c r="S6" s="3">
        <f t="shared" si="0"/>
        <v>5164.54</v>
      </c>
      <c r="T6" s="2">
        <f t="shared" si="1"/>
        <v>4350</v>
      </c>
      <c r="U6" s="3">
        <f t="shared" si="2"/>
        <v>-814.54</v>
      </c>
      <c r="V6" s="4">
        <f t="shared" si="3"/>
        <v>-0.18725057471264367</v>
      </c>
    </row>
    <row r="7" spans="1:22" s="32" customFormat="1" x14ac:dyDescent="0.25">
      <c r="A7" s="40" t="s">
        <v>92</v>
      </c>
      <c r="B7" s="41">
        <v>20000</v>
      </c>
      <c r="C7" s="2">
        <v>0</v>
      </c>
      <c r="D7" s="2">
        <v>0</v>
      </c>
      <c r="E7" s="2">
        <v>0</v>
      </c>
      <c r="F7" s="2">
        <v>4266</v>
      </c>
      <c r="G7" s="2">
        <v>0</v>
      </c>
      <c r="H7" s="2">
        <v>0</v>
      </c>
      <c r="I7" s="2">
        <v>4266</v>
      </c>
      <c r="J7" s="2">
        <v>0</v>
      </c>
      <c r="K7" s="2">
        <v>4268</v>
      </c>
      <c r="L7" s="2">
        <v>0</v>
      </c>
      <c r="M7" s="2">
        <v>0</v>
      </c>
      <c r="N7" s="2">
        <v>7200</v>
      </c>
      <c r="O7" s="2">
        <v>0</v>
      </c>
      <c r="P7" s="2">
        <v>0</v>
      </c>
      <c r="Q7" s="2">
        <v>0</v>
      </c>
      <c r="R7" s="1"/>
      <c r="S7" s="3">
        <f t="shared" si="0"/>
        <v>20000</v>
      </c>
      <c r="T7" s="2">
        <f t="shared" si="1"/>
        <v>20000</v>
      </c>
      <c r="U7" s="3">
        <f t="shared" si="2"/>
        <v>0</v>
      </c>
      <c r="V7" s="4">
        <f t="shared" si="3"/>
        <v>0</v>
      </c>
    </row>
    <row r="8" spans="1:22" x14ac:dyDescent="0.25">
      <c r="A8" s="40" t="s">
        <v>93</v>
      </c>
      <c r="B8" s="41">
        <v>5000</v>
      </c>
      <c r="C8" s="2">
        <v>0</v>
      </c>
      <c r="D8" s="2">
        <v>0.81</v>
      </c>
      <c r="E8" s="2">
        <v>0.57999999999999996</v>
      </c>
      <c r="F8" s="2">
        <v>0</v>
      </c>
      <c r="G8" s="2">
        <v>265.5</v>
      </c>
      <c r="H8" s="2">
        <v>0.18</v>
      </c>
      <c r="I8" s="2">
        <v>0</v>
      </c>
      <c r="J8" s="2">
        <v>0</v>
      </c>
      <c r="K8" s="2">
        <f>30.25</f>
        <v>30.25</v>
      </c>
      <c r="L8" s="2">
        <f>30.6+2455.45</f>
        <v>2486.0499999999997</v>
      </c>
      <c r="M8" s="2">
        <v>0</v>
      </c>
      <c r="N8" s="2">
        <f>1+6.34+6.57</f>
        <v>13.91</v>
      </c>
      <c r="O8" s="2">
        <v>0</v>
      </c>
      <c r="P8" s="2">
        <v>0</v>
      </c>
      <c r="Q8" s="2">
        <v>0</v>
      </c>
      <c r="R8" s="1"/>
      <c r="S8" s="3">
        <f t="shared" si="0"/>
        <v>2797.2799999999997</v>
      </c>
      <c r="T8" s="2">
        <f t="shared" si="1"/>
        <v>5000</v>
      </c>
      <c r="U8" s="3">
        <f t="shared" si="2"/>
        <v>2202.7200000000003</v>
      </c>
      <c r="V8" s="4">
        <f t="shared" si="3"/>
        <v>0.44054400000000005</v>
      </c>
    </row>
    <row r="9" spans="1:22" x14ac:dyDescent="0.25">
      <c r="A9" s="40" t="s">
        <v>94</v>
      </c>
      <c r="B9" s="41">
        <v>5000</v>
      </c>
      <c r="C9" s="2">
        <v>0</v>
      </c>
      <c r="D9" s="2">
        <v>0</v>
      </c>
      <c r="E9" s="2">
        <v>0</v>
      </c>
      <c r="F9" s="2">
        <v>0</v>
      </c>
      <c r="G9" s="2">
        <v>0</v>
      </c>
      <c r="H9" s="2">
        <v>0</v>
      </c>
      <c r="I9" s="2">
        <v>0</v>
      </c>
      <c r="J9" s="2">
        <v>0</v>
      </c>
      <c r="K9" s="2">
        <v>0</v>
      </c>
      <c r="L9" s="2">
        <v>0</v>
      </c>
      <c r="M9" s="2">
        <f>(749+749)</f>
        <v>1498</v>
      </c>
      <c r="N9" s="2">
        <v>0</v>
      </c>
      <c r="O9" s="2">
        <v>0</v>
      </c>
      <c r="P9" s="2">
        <v>0</v>
      </c>
      <c r="Q9" s="2">
        <v>0</v>
      </c>
      <c r="R9" s="1"/>
      <c r="S9" s="3">
        <f t="shared" si="0"/>
        <v>1498</v>
      </c>
      <c r="T9" s="2">
        <f t="shared" si="1"/>
        <v>5000</v>
      </c>
      <c r="U9" s="3">
        <f t="shared" si="2"/>
        <v>3502</v>
      </c>
      <c r="V9" s="4">
        <f t="shared" si="3"/>
        <v>0.70040000000000002</v>
      </c>
    </row>
    <row r="10" spans="1:22" x14ac:dyDescent="0.25">
      <c r="A10" s="40" t="s">
        <v>95</v>
      </c>
      <c r="B10" s="41">
        <v>3500</v>
      </c>
      <c r="C10" s="2">
        <v>0</v>
      </c>
      <c r="D10" s="2">
        <v>0</v>
      </c>
      <c r="E10" s="2">
        <v>0</v>
      </c>
      <c r="F10" s="2">
        <v>0</v>
      </c>
      <c r="G10" s="2">
        <v>0</v>
      </c>
      <c r="H10" s="2">
        <v>0</v>
      </c>
      <c r="I10" s="2">
        <v>0</v>
      </c>
      <c r="J10" s="2">
        <v>3500</v>
      </c>
      <c r="K10" s="2">
        <v>0</v>
      </c>
      <c r="L10" s="2">
        <v>0</v>
      </c>
      <c r="M10" s="2">
        <v>0</v>
      </c>
      <c r="N10" s="2">
        <v>0</v>
      </c>
      <c r="O10" s="2">
        <v>0</v>
      </c>
      <c r="P10" s="2">
        <v>0</v>
      </c>
      <c r="Q10" s="2">
        <v>0</v>
      </c>
      <c r="R10" s="1"/>
      <c r="S10" s="3">
        <f t="shared" si="0"/>
        <v>3500</v>
      </c>
      <c r="T10" s="2">
        <f t="shared" si="1"/>
        <v>3500</v>
      </c>
      <c r="U10" s="3">
        <f t="shared" si="2"/>
        <v>0</v>
      </c>
      <c r="V10" s="4">
        <f t="shared" si="3"/>
        <v>0</v>
      </c>
    </row>
    <row r="11" spans="1:22" s="32" customFormat="1" ht="15" x14ac:dyDescent="0.25">
      <c r="A11" s="62" t="s">
        <v>96</v>
      </c>
      <c r="B11" s="65"/>
      <c r="C11" s="65"/>
      <c r="D11" s="66"/>
      <c r="E11" s="66"/>
      <c r="F11" s="66"/>
      <c r="G11" s="66"/>
      <c r="H11" s="66"/>
      <c r="I11" s="66"/>
      <c r="J11" s="66"/>
      <c r="K11" s="66"/>
      <c r="L11" s="66"/>
      <c r="M11" s="66"/>
      <c r="N11" s="66"/>
      <c r="O11" s="66"/>
      <c r="P11" s="66"/>
      <c r="Q11" s="71"/>
      <c r="R11" s="1"/>
      <c r="S11" s="67"/>
      <c r="T11" s="66"/>
      <c r="U11" s="67"/>
      <c r="V11" s="68"/>
    </row>
    <row r="12" spans="1:22" ht="15" x14ac:dyDescent="0.25">
      <c r="A12" s="45"/>
      <c r="B12" s="43"/>
      <c r="C12" s="2">
        <v>0</v>
      </c>
      <c r="D12" s="2">
        <v>0</v>
      </c>
      <c r="E12" s="2">
        <v>0</v>
      </c>
      <c r="F12" s="2">
        <v>0</v>
      </c>
      <c r="G12" s="2">
        <v>0</v>
      </c>
      <c r="H12" s="2">
        <v>0</v>
      </c>
      <c r="I12" s="2">
        <v>0</v>
      </c>
      <c r="J12" s="2">
        <v>0</v>
      </c>
      <c r="K12" s="2">
        <v>0</v>
      </c>
      <c r="L12" s="2">
        <v>0</v>
      </c>
      <c r="M12" s="2">
        <v>0</v>
      </c>
      <c r="N12" s="2">
        <v>0</v>
      </c>
      <c r="O12" s="2">
        <v>0</v>
      </c>
      <c r="P12" s="2">
        <v>0</v>
      </c>
      <c r="Q12" s="2">
        <v>0</v>
      </c>
      <c r="R12" s="1"/>
      <c r="S12" s="3">
        <f>SUM(C12:Q12)</f>
        <v>0</v>
      </c>
      <c r="T12" s="2">
        <f>B12</f>
        <v>0</v>
      </c>
      <c r="U12" s="3">
        <f t="shared" ref="U12:U79" si="4">T12-S12</f>
        <v>0</v>
      </c>
      <c r="V12" s="4">
        <f t="shared" ref="V12:V79" si="5">IFERROR(U12/T12,0)</f>
        <v>0</v>
      </c>
    </row>
    <row r="13" spans="1:22" ht="15" x14ac:dyDescent="0.25">
      <c r="A13" s="62" t="s">
        <v>97</v>
      </c>
      <c r="B13" s="65"/>
      <c r="C13" s="65"/>
      <c r="D13" s="66"/>
      <c r="E13" s="66"/>
      <c r="F13" s="66"/>
      <c r="G13" s="66"/>
      <c r="H13" s="66"/>
      <c r="I13" s="66"/>
      <c r="J13" s="66"/>
      <c r="K13" s="66"/>
      <c r="L13" s="66"/>
      <c r="M13" s="66"/>
      <c r="N13" s="66"/>
      <c r="O13" s="66"/>
      <c r="P13" s="66"/>
      <c r="Q13" s="71"/>
      <c r="R13" s="1"/>
      <c r="S13" s="67"/>
      <c r="T13" s="66"/>
      <c r="U13" s="67"/>
      <c r="V13" s="68"/>
    </row>
    <row r="14" spans="1:22" x14ac:dyDescent="0.25">
      <c r="A14" s="40" t="s">
        <v>98</v>
      </c>
      <c r="B14" s="41">
        <v>18545.32</v>
      </c>
      <c r="C14" s="2">
        <v>0</v>
      </c>
      <c r="D14" s="2">
        <v>0</v>
      </c>
      <c r="E14" s="2">
        <v>6386.37</v>
      </c>
      <c r="F14" s="2">
        <v>0</v>
      </c>
      <c r="G14" s="2">
        <v>0</v>
      </c>
      <c r="H14" s="2">
        <v>0</v>
      </c>
      <c r="I14" s="2">
        <v>0</v>
      </c>
      <c r="J14" s="2">
        <v>0</v>
      </c>
      <c r="K14" s="2">
        <v>0</v>
      </c>
      <c r="L14" s="2">
        <v>0</v>
      </c>
      <c r="M14" s="2">
        <v>0</v>
      </c>
      <c r="N14" s="2">
        <v>0</v>
      </c>
      <c r="O14" s="2">
        <v>0</v>
      </c>
      <c r="P14" s="2">
        <v>0</v>
      </c>
      <c r="Q14" s="61">
        <v>12158.95</v>
      </c>
      <c r="R14" s="1"/>
      <c r="S14" s="3">
        <f>SUM(C14:Q14)</f>
        <v>18545.32</v>
      </c>
      <c r="T14" s="2">
        <f>B14</f>
        <v>18545.32</v>
      </c>
      <c r="U14" s="3">
        <f t="shared" si="4"/>
        <v>0</v>
      </c>
      <c r="V14" s="4">
        <f t="shared" si="5"/>
        <v>0</v>
      </c>
    </row>
    <row r="15" spans="1:22" x14ac:dyDescent="0.25">
      <c r="A15" s="40" t="s">
        <v>99</v>
      </c>
      <c r="B15" s="41">
        <v>3000</v>
      </c>
      <c r="C15" s="2">
        <v>0</v>
      </c>
      <c r="D15" s="2">
        <v>0</v>
      </c>
      <c r="E15" s="2">
        <v>0</v>
      </c>
      <c r="F15" s="2">
        <v>0</v>
      </c>
      <c r="G15" s="2">
        <v>0</v>
      </c>
      <c r="H15" s="2">
        <v>0</v>
      </c>
      <c r="I15" s="2">
        <v>0</v>
      </c>
      <c r="J15" s="2">
        <v>0</v>
      </c>
      <c r="K15" s="2">
        <v>0</v>
      </c>
      <c r="L15" s="2">
        <v>0</v>
      </c>
      <c r="M15" s="2">
        <v>0</v>
      </c>
      <c r="N15" s="2">
        <v>0</v>
      </c>
      <c r="O15" s="2">
        <v>0</v>
      </c>
      <c r="P15" s="2">
        <v>0</v>
      </c>
      <c r="Q15" s="2">
        <v>0</v>
      </c>
      <c r="R15" s="1"/>
      <c r="S15" s="3">
        <f>SUM(C15:Q15)</f>
        <v>0</v>
      </c>
      <c r="T15" s="2">
        <f>B15</f>
        <v>3000</v>
      </c>
      <c r="U15" s="3">
        <f t="shared" si="4"/>
        <v>3000</v>
      </c>
      <c r="V15" s="4">
        <f t="shared" si="5"/>
        <v>1</v>
      </c>
    </row>
    <row r="16" spans="1:22" x14ac:dyDescent="0.25">
      <c r="A16" s="40" t="s">
        <v>100</v>
      </c>
      <c r="B16" s="41">
        <v>3650</v>
      </c>
      <c r="C16" s="2">
        <v>0</v>
      </c>
      <c r="D16" s="2">
        <v>0</v>
      </c>
      <c r="E16" s="2">
        <v>0</v>
      </c>
      <c r="F16" s="2">
        <v>0</v>
      </c>
      <c r="G16" s="2">
        <v>0</v>
      </c>
      <c r="H16" s="2">
        <v>0</v>
      </c>
      <c r="I16" s="2">
        <v>3650</v>
      </c>
      <c r="J16" s="2">
        <v>0</v>
      </c>
      <c r="K16" s="2">
        <v>0</v>
      </c>
      <c r="L16" s="2">
        <v>0</v>
      </c>
      <c r="M16" s="2">
        <v>0</v>
      </c>
      <c r="N16" s="2">
        <v>0</v>
      </c>
      <c r="O16" s="2">
        <v>0</v>
      </c>
      <c r="P16" s="2">
        <v>0</v>
      </c>
      <c r="Q16" s="2">
        <v>0</v>
      </c>
      <c r="R16" s="1"/>
      <c r="S16" s="3">
        <f>SUM(C16:Q16)</f>
        <v>3650</v>
      </c>
      <c r="T16" s="2">
        <f>B16</f>
        <v>3650</v>
      </c>
      <c r="U16" s="3">
        <f t="shared" ref="U16:U17" si="6">T16-S16</f>
        <v>0</v>
      </c>
      <c r="V16" s="4">
        <f t="shared" ref="V16:V17" si="7">IFERROR(U16/T16,0)</f>
        <v>0</v>
      </c>
    </row>
    <row r="17" spans="1:29" x14ac:dyDescent="0.25">
      <c r="A17" s="40" t="s">
        <v>101</v>
      </c>
      <c r="B17" s="41">
        <v>0</v>
      </c>
      <c r="C17" s="2">
        <f>808.78+82.73</f>
        <v>891.51</v>
      </c>
      <c r="D17" s="2">
        <v>0</v>
      </c>
      <c r="E17" s="2">
        <v>377.91</v>
      </c>
      <c r="F17" s="2">
        <v>0</v>
      </c>
      <c r="G17" s="2">
        <v>318.38</v>
      </c>
      <c r="H17" s="2">
        <v>0</v>
      </c>
      <c r="I17" s="2">
        <v>0</v>
      </c>
      <c r="J17" s="2">
        <v>0</v>
      </c>
      <c r="K17" s="2">
        <v>0</v>
      </c>
      <c r="L17" s="2">
        <v>0</v>
      </c>
      <c r="M17" s="2">
        <v>0</v>
      </c>
      <c r="N17" s="2">
        <v>0</v>
      </c>
      <c r="O17" s="2">
        <v>0</v>
      </c>
      <c r="P17" s="2">
        <v>0</v>
      </c>
      <c r="Q17" s="2">
        <v>0</v>
      </c>
      <c r="R17" s="1"/>
      <c r="S17" s="3">
        <f>SUM(C17:Q17)</f>
        <v>1587.8000000000002</v>
      </c>
      <c r="T17" s="2">
        <f>B17</f>
        <v>0</v>
      </c>
      <c r="U17" s="3">
        <f t="shared" si="6"/>
        <v>-1587.8000000000002</v>
      </c>
      <c r="V17" s="4">
        <f t="shared" si="7"/>
        <v>0</v>
      </c>
    </row>
    <row r="18" spans="1:29" s="32" customFormat="1" x14ac:dyDescent="0.25">
      <c r="A18" s="40" t="s">
        <v>102</v>
      </c>
      <c r="B18" s="41">
        <v>3750</v>
      </c>
      <c r="C18" s="2">
        <v>0</v>
      </c>
      <c r="D18" s="2">
        <v>0</v>
      </c>
      <c r="E18" s="2">
        <v>900</v>
      </c>
      <c r="F18" s="2">
        <v>0</v>
      </c>
      <c r="G18" s="2">
        <v>2850</v>
      </c>
      <c r="H18" s="2">
        <v>0</v>
      </c>
      <c r="I18" s="2">
        <v>0</v>
      </c>
      <c r="J18" s="2">
        <v>0</v>
      </c>
      <c r="K18" s="2">
        <v>0</v>
      </c>
      <c r="L18" s="2">
        <v>0</v>
      </c>
      <c r="M18" s="2">
        <v>0</v>
      </c>
      <c r="N18" s="2">
        <v>0</v>
      </c>
      <c r="O18" s="2">
        <v>0</v>
      </c>
      <c r="P18" s="2">
        <v>0</v>
      </c>
      <c r="Q18" s="2">
        <v>0</v>
      </c>
      <c r="R18" s="1"/>
      <c r="S18" s="3">
        <f>SUM(C18:Q18)</f>
        <v>3750</v>
      </c>
      <c r="T18" s="2">
        <f>B18</f>
        <v>3750</v>
      </c>
      <c r="U18" s="3">
        <f t="shared" si="4"/>
        <v>0</v>
      </c>
      <c r="V18" s="4">
        <f t="shared" si="5"/>
        <v>0</v>
      </c>
    </row>
    <row r="19" spans="1:29" ht="15" x14ac:dyDescent="0.25">
      <c r="A19" s="62" t="s">
        <v>103</v>
      </c>
      <c r="B19" s="65"/>
      <c r="C19" s="65"/>
      <c r="D19" s="66"/>
      <c r="E19" s="66"/>
      <c r="F19" s="66"/>
      <c r="G19" s="66"/>
      <c r="H19" s="66"/>
      <c r="I19" s="66"/>
      <c r="J19" s="66"/>
      <c r="K19" s="66"/>
      <c r="L19" s="66"/>
      <c r="M19" s="66"/>
      <c r="N19" s="66"/>
      <c r="O19" s="66"/>
      <c r="P19" s="66"/>
      <c r="Q19" s="71"/>
      <c r="R19" s="1"/>
      <c r="S19" s="67"/>
      <c r="T19" s="66"/>
      <c r="U19" s="67"/>
      <c r="V19" s="68"/>
    </row>
    <row r="20" spans="1:29" x14ac:dyDescent="0.25">
      <c r="A20" s="40" t="s">
        <v>13</v>
      </c>
      <c r="B20" s="41">
        <v>2500</v>
      </c>
      <c r="C20" s="2">
        <v>0</v>
      </c>
      <c r="D20" s="2">
        <v>0</v>
      </c>
      <c r="E20" s="2">
        <v>0</v>
      </c>
      <c r="F20" s="2">
        <v>0</v>
      </c>
      <c r="G20" s="2">
        <v>0</v>
      </c>
      <c r="H20" s="2">
        <v>0</v>
      </c>
      <c r="I20" s="2">
        <v>0</v>
      </c>
      <c r="J20" s="2">
        <v>0</v>
      </c>
      <c r="K20" s="2">
        <v>0</v>
      </c>
      <c r="L20" s="2">
        <v>0</v>
      </c>
      <c r="M20" s="2">
        <v>0</v>
      </c>
      <c r="N20" s="2">
        <v>0</v>
      </c>
      <c r="O20" s="2">
        <v>0</v>
      </c>
      <c r="P20" s="2">
        <v>630</v>
      </c>
      <c r="Q20" s="61">
        <v>0</v>
      </c>
      <c r="R20" s="1"/>
      <c r="S20" s="3">
        <f>SUM(C20:Q20)</f>
        <v>630</v>
      </c>
      <c r="T20" s="2">
        <f>B20</f>
        <v>2500</v>
      </c>
      <c r="U20" s="3">
        <f t="shared" ref="U20:U23" si="8">T20-S20</f>
        <v>1870</v>
      </c>
      <c r="V20" s="4">
        <f t="shared" ref="V20:V23" si="9">IFERROR(U20/T20,0)</f>
        <v>0.748</v>
      </c>
    </row>
    <row r="21" spans="1:29" x14ac:dyDescent="0.25">
      <c r="A21" s="40" t="s">
        <v>104</v>
      </c>
      <c r="B21" s="41">
        <v>35081</v>
      </c>
      <c r="C21" s="2">
        <v>0</v>
      </c>
      <c r="D21" s="2">
        <v>0</v>
      </c>
      <c r="E21" s="2">
        <v>0</v>
      </c>
      <c r="F21" s="2">
        <v>0</v>
      </c>
      <c r="G21" s="2">
        <v>0</v>
      </c>
      <c r="H21" s="2">
        <v>0</v>
      </c>
      <c r="I21" s="2">
        <v>0</v>
      </c>
      <c r="J21" s="2">
        <v>0</v>
      </c>
      <c r="K21" s="2">
        <v>0</v>
      </c>
      <c r="L21" s="2">
        <v>0</v>
      </c>
      <c r="M21" s="2">
        <v>0</v>
      </c>
      <c r="N21" s="2">
        <v>0</v>
      </c>
      <c r="O21" s="2">
        <v>0</v>
      </c>
      <c r="P21" s="2">
        <v>35081</v>
      </c>
      <c r="Q21" s="2">
        <v>0</v>
      </c>
      <c r="R21" s="1"/>
      <c r="S21" s="3">
        <f>SUM(C21:Q21)</f>
        <v>35081</v>
      </c>
      <c r="T21" s="2">
        <f>B21</f>
        <v>35081</v>
      </c>
      <c r="U21" s="3">
        <f t="shared" si="8"/>
        <v>0</v>
      </c>
      <c r="V21" s="4">
        <f t="shared" si="9"/>
        <v>0</v>
      </c>
    </row>
    <row r="22" spans="1:29" x14ac:dyDescent="0.25">
      <c r="A22" s="40" t="s">
        <v>105</v>
      </c>
      <c r="B22" s="41">
        <v>0</v>
      </c>
      <c r="C22" s="2">
        <v>0</v>
      </c>
      <c r="D22" s="2">
        <v>0</v>
      </c>
      <c r="E22" s="2">
        <v>0</v>
      </c>
      <c r="F22" s="2">
        <v>0</v>
      </c>
      <c r="G22" s="2">
        <v>0</v>
      </c>
      <c r="H22" s="2">
        <v>0</v>
      </c>
      <c r="I22" s="2">
        <v>0</v>
      </c>
      <c r="J22" s="2">
        <v>0</v>
      </c>
      <c r="K22" s="2">
        <v>0</v>
      </c>
      <c r="L22" s="2">
        <v>0</v>
      </c>
      <c r="M22" s="2">
        <v>0</v>
      </c>
      <c r="N22" s="2">
        <v>0</v>
      </c>
      <c r="O22" s="2">
        <v>0</v>
      </c>
      <c r="P22" s="2">
        <v>1777.55</v>
      </c>
      <c r="Q22" s="2">
        <v>0</v>
      </c>
      <c r="R22" s="1"/>
      <c r="S22" s="3">
        <f>SUM(C22:Q22)</f>
        <v>1777.55</v>
      </c>
      <c r="T22" s="2">
        <f>B22</f>
        <v>0</v>
      </c>
      <c r="U22" s="3">
        <f t="shared" si="8"/>
        <v>-1777.55</v>
      </c>
      <c r="V22" s="4">
        <f t="shared" si="9"/>
        <v>0</v>
      </c>
    </row>
    <row r="23" spans="1:29" x14ac:dyDescent="0.25">
      <c r="A23" s="40" t="s">
        <v>106</v>
      </c>
      <c r="B23" s="41">
        <v>200</v>
      </c>
      <c r="C23" s="2">
        <v>0</v>
      </c>
      <c r="D23" s="2">
        <v>0</v>
      </c>
      <c r="E23" s="2">
        <v>0</v>
      </c>
      <c r="F23" s="2">
        <v>0</v>
      </c>
      <c r="G23" s="2">
        <v>0</v>
      </c>
      <c r="H23" s="2">
        <v>0</v>
      </c>
      <c r="I23" s="2">
        <v>0</v>
      </c>
      <c r="J23" s="2">
        <v>0</v>
      </c>
      <c r="K23" s="2">
        <v>0</v>
      </c>
      <c r="L23" s="2">
        <v>0</v>
      </c>
      <c r="M23" s="2">
        <v>0</v>
      </c>
      <c r="N23" s="2">
        <v>0</v>
      </c>
      <c r="O23" s="2">
        <v>0</v>
      </c>
      <c r="P23" s="2">
        <v>175</v>
      </c>
      <c r="Q23" s="2">
        <v>0</v>
      </c>
      <c r="R23" s="1"/>
      <c r="S23" s="3">
        <f>SUM(C23:Q23)</f>
        <v>175</v>
      </c>
      <c r="T23" s="2">
        <f>B23</f>
        <v>200</v>
      </c>
      <c r="U23" s="3">
        <f t="shared" si="8"/>
        <v>25</v>
      </c>
      <c r="V23" s="4">
        <f t="shared" si="9"/>
        <v>0.125</v>
      </c>
    </row>
    <row r="24" spans="1:29" ht="15" x14ac:dyDescent="0.25">
      <c r="A24" s="62" t="s">
        <v>107</v>
      </c>
      <c r="B24" s="65"/>
      <c r="C24" s="65"/>
      <c r="D24" s="66"/>
      <c r="E24" s="66"/>
      <c r="F24" s="66"/>
      <c r="G24" s="66"/>
      <c r="H24" s="66"/>
      <c r="I24" s="66"/>
      <c r="J24" s="66"/>
      <c r="K24" s="66"/>
      <c r="L24" s="66"/>
      <c r="M24" s="66"/>
      <c r="N24" s="66"/>
      <c r="O24" s="66"/>
      <c r="P24" s="66"/>
      <c r="Q24" s="71"/>
      <c r="R24" s="1"/>
      <c r="S24" s="67"/>
      <c r="T24" s="66"/>
      <c r="U24" s="67"/>
      <c r="V24" s="68"/>
    </row>
    <row r="25" spans="1:29" x14ac:dyDescent="0.25">
      <c r="A25" s="40" t="s">
        <v>14</v>
      </c>
      <c r="B25" s="41">
        <v>500</v>
      </c>
      <c r="C25" s="2">
        <v>0</v>
      </c>
      <c r="D25" s="2">
        <v>0</v>
      </c>
      <c r="E25" s="2">
        <v>0</v>
      </c>
      <c r="F25" s="2">
        <v>0</v>
      </c>
      <c r="G25" s="2">
        <v>0</v>
      </c>
      <c r="H25" s="2">
        <v>0</v>
      </c>
      <c r="I25" s="2">
        <v>0</v>
      </c>
      <c r="J25" s="2">
        <v>0</v>
      </c>
      <c r="K25" s="2">
        <v>0</v>
      </c>
      <c r="L25" s="2">
        <v>0</v>
      </c>
      <c r="M25" s="2">
        <v>0</v>
      </c>
      <c r="N25" s="2">
        <v>0</v>
      </c>
      <c r="O25" s="2">
        <v>0</v>
      </c>
      <c r="P25" s="2">
        <v>0</v>
      </c>
      <c r="Q25" s="2">
        <v>0</v>
      </c>
      <c r="R25" s="1"/>
      <c r="S25" s="3">
        <f>SUM(C25:Q25)</f>
        <v>0</v>
      </c>
      <c r="T25" s="2">
        <f>B25</f>
        <v>500</v>
      </c>
      <c r="U25" s="3">
        <f t="shared" si="4"/>
        <v>500</v>
      </c>
      <c r="V25" s="4">
        <f t="shared" si="5"/>
        <v>1</v>
      </c>
    </row>
    <row r="26" spans="1:29" x14ac:dyDescent="0.25">
      <c r="A26" s="40" t="s">
        <v>22</v>
      </c>
      <c r="B26" s="41">
        <v>2000</v>
      </c>
      <c r="C26" s="2">
        <v>0</v>
      </c>
      <c r="D26" s="2">
        <v>0</v>
      </c>
      <c r="E26" s="2">
        <v>0</v>
      </c>
      <c r="F26" s="2">
        <v>0</v>
      </c>
      <c r="G26" s="2">
        <v>0</v>
      </c>
      <c r="H26" s="2">
        <v>0</v>
      </c>
      <c r="I26" s="2">
        <v>0</v>
      </c>
      <c r="J26" s="2">
        <v>0</v>
      </c>
      <c r="K26" s="2">
        <v>0</v>
      </c>
      <c r="L26" s="2">
        <v>0</v>
      </c>
      <c r="M26" s="2">
        <v>0</v>
      </c>
      <c r="N26" s="2">
        <v>0</v>
      </c>
      <c r="O26" s="2">
        <v>0</v>
      </c>
      <c r="P26" s="2">
        <f>900+450+900+450+450+900</f>
        <v>4050</v>
      </c>
      <c r="Q26" s="2">
        <v>0</v>
      </c>
      <c r="R26" s="1"/>
      <c r="S26" s="3">
        <f>SUM(C26:Q26)</f>
        <v>4050</v>
      </c>
      <c r="T26" s="2">
        <f>B26</f>
        <v>2000</v>
      </c>
      <c r="U26" s="3">
        <f t="shared" si="4"/>
        <v>-2050</v>
      </c>
      <c r="V26" s="4">
        <f t="shared" si="5"/>
        <v>-1.0249999999999999</v>
      </c>
      <c r="W26" s="95"/>
      <c r="X26" s="95"/>
    </row>
    <row r="27" spans="1:29" ht="15" x14ac:dyDescent="0.25">
      <c r="A27" s="62" t="s">
        <v>108</v>
      </c>
      <c r="B27" s="65"/>
      <c r="C27" s="65"/>
      <c r="D27" s="66"/>
      <c r="E27" s="66"/>
      <c r="F27" s="66"/>
      <c r="G27" s="66"/>
      <c r="H27" s="66"/>
      <c r="I27" s="66"/>
      <c r="J27" s="66"/>
      <c r="K27" s="66"/>
      <c r="L27" s="66"/>
      <c r="M27" s="66"/>
      <c r="N27" s="66"/>
      <c r="O27" s="66"/>
      <c r="P27" s="66"/>
      <c r="Q27" s="71"/>
      <c r="R27" s="1"/>
      <c r="S27" s="67"/>
      <c r="T27" s="66"/>
      <c r="U27" s="67"/>
      <c r="V27" s="68"/>
    </row>
    <row r="28" spans="1:29" x14ac:dyDescent="0.25">
      <c r="A28" s="40" t="s">
        <v>109</v>
      </c>
      <c r="B28" s="41">
        <v>186000</v>
      </c>
      <c r="C28" s="2">
        <v>0</v>
      </c>
      <c r="D28" s="2">
        <v>0</v>
      </c>
      <c r="E28" s="2">
        <v>0</v>
      </c>
      <c r="F28" s="2">
        <v>0</v>
      </c>
      <c r="G28" s="2">
        <v>0</v>
      </c>
      <c r="H28" s="2">
        <v>0</v>
      </c>
      <c r="I28" s="2">
        <v>0</v>
      </c>
      <c r="J28" s="2">
        <v>0</v>
      </c>
      <c r="K28" s="2">
        <v>0</v>
      </c>
      <c r="L28" s="2">
        <v>0</v>
      </c>
      <c r="M28" s="2">
        <v>0</v>
      </c>
      <c r="N28" s="2">
        <v>0</v>
      </c>
      <c r="O28" s="2">
        <v>0</v>
      </c>
      <c r="P28" s="2">
        <f>1800.34+3798.19+3817.18+6193.58+3671.58+2962.59+3291.76+2962.59+46084.68+4215.99+74482.46+2962.59+46084.68</f>
        <v>202328.21</v>
      </c>
      <c r="Q28" s="2">
        <v>0</v>
      </c>
      <c r="R28" s="1"/>
      <c r="S28" s="3">
        <f>SUM(C28:Q28)</f>
        <v>202328.21</v>
      </c>
      <c r="T28" s="2">
        <f>B28</f>
        <v>186000</v>
      </c>
      <c r="U28" s="3">
        <f t="shared" si="4"/>
        <v>-16328.209999999992</v>
      </c>
      <c r="V28" s="4">
        <f t="shared" si="5"/>
        <v>-8.7786075268817154E-2</v>
      </c>
      <c r="X28" s="105"/>
      <c r="Y28" s="105"/>
      <c r="Z28" s="105"/>
      <c r="AA28" s="105"/>
      <c r="AB28" s="105"/>
      <c r="AC28" s="105"/>
    </row>
    <row r="29" spans="1:29" x14ac:dyDescent="0.25">
      <c r="A29" s="40" t="s">
        <v>110</v>
      </c>
      <c r="B29" s="41">
        <v>2500</v>
      </c>
      <c r="C29" s="2">
        <v>0</v>
      </c>
      <c r="D29" s="2">
        <v>0</v>
      </c>
      <c r="E29" s="2">
        <v>0</v>
      </c>
      <c r="F29" s="2">
        <v>0</v>
      </c>
      <c r="G29" s="2">
        <v>0</v>
      </c>
      <c r="H29" s="2">
        <v>0</v>
      </c>
      <c r="I29" s="2">
        <v>0</v>
      </c>
      <c r="J29" s="2">
        <f>133.4+5.9</f>
        <v>139.30000000000001</v>
      </c>
      <c r="K29" s="2">
        <v>198.25</v>
      </c>
      <c r="L29" s="2">
        <v>0</v>
      </c>
      <c r="M29" s="2">
        <f>290.09+53.8+277.01</f>
        <v>620.9</v>
      </c>
      <c r="N29" s="2">
        <f>282.62+1602.9+234.76+78.46+53.6+112.9+317.54</f>
        <v>2682.7799999999997</v>
      </c>
      <c r="O29" s="2">
        <f>51.39+280.99</f>
        <v>332.38</v>
      </c>
      <c r="P29" s="2">
        <v>0</v>
      </c>
      <c r="Q29" s="2">
        <v>0</v>
      </c>
      <c r="R29" s="1"/>
      <c r="S29" s="3">
        <f>SUM(C29:Q29)</f>
        <v>3973.6099999999997</v>
      </c>
      <c r="T29" s="2">
        <f>B29</f>
        <v>2500</v>
      </c>
      <c r="U29" s="3">
        <f t="shared" si="4"/>
        <v>-1473.6099999999997</v>
      </c>
      <c r="V29" s="4">
        <f t="shared" si="5"/>
        <v>-0.58944399999999986</v>
      </c>
      <c r="X29" s="105"/>
      <c r="Y29" s="105"/>
      <c r="Z29" s="105"/>
      <c r="AA29" s="105"/>
      <c r="AB29" s="105"/>
      <c r="AC29" s="105"/>
    </row>
    <row r="30" spans="1:29" x14ac:dyDescent="0.25">
      <c r="A30" s="40" t="s">
        <v>111</v>
      </c>
      <c r="B30" s="41">
        <v>5000</v>
      </c>
      <c r="C30" s="2">
        <v>0</v>
      </c>
      <c r="D30" s="2">
        <v>0</v>
      </c>
      <c r="E30" s="2">
        <v>0</v>
      </c>
      <c r="F30" s="2">
        <v>0</v>
      </c>
      <c r="G30" s="2">
        <v>0</v>
      </c>
      <c r="H30" s="2">
        <v>0</v>
      </c>
      <c r="I30" s="2">
        <v>0</v>
      </c>
      <c r="J30" s="2">
        <v>0</v>
      </c>
      <c r="K30" s="2">
        <v>0</v>
      </c>
      <c r="L30" s="2">
        <v>0</v>
      </c>
      <c r="M30" s="2">
        <v>0</v>
      </c>
      <c r="N30" s="2">
        <v>0</v>
      </c>
      <c r="O30" s="2">
        <v>0</v>
      </c>
      <c r="P30" s="2">
        <v>0</v>
      </c>
      <c r="Q30" s="2">
        <v>0</v>
      </c>
      <c r="R30" s="1"/>
      <c r="S30" s="3">
        <f>SUM(C30:Q30)</f>
        <v>0</v>
      </c>
      <c r="T30" s="2">
        <f>B30</f>
        <v>5000</v>
      </c>
      <c r="U30" s="3">
        <f t="shared" si="4"/>
        <v>5000</v>
      </c>
      <c r="V30" s="4">
        <f t="shared" si="5"/>
        <v>1</v>
      </c>
      <c r="X30" s="105"/>
      <c r="Y30" s="105"/>
      <c r="Z30" s="105"/>
      <c r="AA30" s="105"/>
      <c r="AB30" s="105"/>
      <c r="AC30" s="105"/>
    </row>
    <row r="31" spans="1:29" ht="15" x14ac:dyDescent="0.25">
      <c r="A31" s="62" t="s">
        <v>112</v>
      </c>
      <c r="B31" s="65"/>
      <c r="C31" s="65"/>
      <c r="D31" s="66"/>
      <c r="E31" s="66"/>
      <c r="F31" s="66"/>
      <c r="G31" s="66"/>
      <c r="H31" s="66"/>
      <c r="I31" s="66"/>
      <c r="J31" s="66"/>
      <c r="K31" s="66"/>
      <c r="L31" s="66"/>
      <c r="M31" s="66"/>
      <c r="N31" s="66"/>
      <c r="O31" s="66"/>
      <c r="P31" s="66"/>
      <c r="Q31" s="71"/>
      <c r="R31" s="1"/>
      <c r="S31" s="67"/>
      <c r="T31" s="66"/>
      <c r="U31" s="67"/>
      <c r="V31" s="68"/>
    </row>
    <row r="32" spans="1:29" x14ac:dyDescent="0.25">
      <c r="A32" s="40" t="s">
        <v>113</v>
      </c>
      <c r="B32" s="41">
        <f>13000+15500+2500</f>
        <v>31000</v>
      </c>
      <c r="C32" s="2">
        <v>0</v>
      </c>
      <c r="D32" s="2">
        <v>0</v>
      </c>
      <c r="E32" s="2">
        <v>0</v>
      </c>
      <c r="F32" s="2">
        <v>0</v>
      </c>
      <c r="G32" s="2">
        <v>0</v>
      </c>
      <c r="H32" s="2">
        <v>0</v>
      </c>
      <c r="I32" s="2">
        <v>0</v>
      </c>
      <c r="J32" s="2">
        <v>0</v>
      </c>
      <c r="K32" s="2">
        <v>0</v>
      </c>
      <c r="L32" s="2">
        <v>0</v>
      </c>
      <c r="M32" s="2">
        <v>0</v>
      </c>
      <c r="N32" s="2">
        <v>0</v>
      </c>
      <c r="O32" s="2">
        <v>0</v>
      </c>
      <c r="P32" s="2">
        <v>22273.34</v>
      </c>
      <c r="Q32" s="2">
        <v>0</v>
      </c>
      <c r="R32" s="1"/>
      <c r="S32" s="3">
        <f t="shared" ref="S32:S38" si="10">SUM(C32:Q32)</f>
        <v>22273.34</v>
      </c>
      <c r="T32" s="2">
        <f t="shared" ref="T32:T38" si="11">B32</f>
        <v>31000</v>
      </c>
      <c r="U32" s="3">
        <f t="shared" si="4"/>
        <v>8726.66</v>
      </c>
      <c r="V32" s="4">
        <f t="shared" si="5"/>
        <v>0.2815051612903226</v>
      </c>
    </row>
    <row r="33" spans="1:23" x14ac:dyDescent="0.25">
      <c r="A33" s="40" t="s">
        <v>114</v>
      </c>
      <c r="B33" s="41">
        <v>4795.88</v>
      </c>
      <c r="C33" s="2">
        <v>0</v>
      </c>
      <c r="D33" s="2">
        <v>0</v>
      </c>
      <c r="E33" s="2">
        <v>0</v>
      </c>
      <c r="F33" s="2">
        <v>0</v>
      </c>
      <c r="G33" s="2">
        <v>0</v>
      </c>
      <c r="H33" s="2">
        <v>0</v>
      </c>
      <c r="I33" s="2">
        <v>0</v>
      </c>
      <c r="J33" s="2">
        <v>0</v>
      </c>
      <c r="K33" s="2">
        <v>0</v>
      </c>
      <c r="L33" s="2">
        <v>4795.88</v>
      </c>
      <c r="M33" s="2">
        <v>0</v>
      </c>
      <c r="N33" s="2">
        <v>0</v>
      </c>
      <c r="O33" s="2">
        <v>130.47</v>
      </c>
      <c r="P33" s="2">
        <v>0</v>
      </c>
      <c r="Q33" s="2">
        <v>0</v>
      </c>
      <c r="R33" s="1"/>
      <c r="S33" s="3">
        <f t="shared" si="10"/>
        <v>4926.3500000000004</v>
      </c>
      <c r="T33" s="2">
        <f t="shared" si="11"/>
        <v>4795.88</v>
      </c>
      <c r="U33" s="3">
        <f t="shared" ref="U33:U34" si="12">T33-S33</f>
        <v>-130.47000000000025</v>
      </c>
      <c r="V33" s="4">
        <f t="shared" ref="V33:V34" si="13">IFERROR(U33/T33,0)</f>
        <v>-2.7204600615528381E-2</v>
      </c>
    </row>
    <row r="34" spans="1:23" x14ac:dyDescent="0.25">
      <c r="A34" s="40" t="s">
        <v>115</v>
      </c>
      <c r="B34" s="41">
        <f>400+100</f>
        <v>500</v>
      </c>
      <c r="C34" s="2">
        <v>0</v>
      </c>
      <c r="D34" s="2">
        <v>0</v>
      </c>
      <c r="E34" s="2">
        <v>0</v>
      </c>
      <c r="F34" s="2">
        <v>0</v>
      </c>
      <c r="G34" s="2">
        <v>0</v>
      </c>
      <c r="H34" s="2">
        <v>0</v>
      </c>
      <c r="I34" s="2">
        <v>0</v>
      </c>
      <c r="J34" s="2">
        <v>0</v>
      </c>
      <c r="K34" s="2">
        <v>0</v>
      </c>
      <c r="L34" s="2">
        <v>0</v>
      </c>
      <c r="M34" s="2">
        <v>0</v>
      </c>
      <c r="N34" s="2">
        <v>0</v>
      </c>
      <c r="O34" s="2">
        <v>0</v>
      </c>
      <c r="P34" s="2">
        <v>369.19</v>
      </c>
      <c r="Q34" s="2">
        <v>0</v>
      </c>
      <c r="R34" s="1"/>
      <c r="S34" s="3">
        <f t="shared" si="10"/>
        <v>369.19</v>
      </c>
      <c r="T34" s="2">
        <f t="shared" si="11"/>
        <v>500</v>
      </c>
      <c r="U34" s="3">
        <f t="shared" si="12"/>
        <v>130.81</v>
      </c>
      <c r="V34" s="4">
        <f t="shared" si="13"/>
        <v>0.26162000000000002</v>
      </c>
    </row>
    <row r="35" spans="1:23" x14ac:dyDescent="0.25">
      <c r="A35" s="40" t="s">
        <v>18</v>
      </c>
      <c r="B35" s="41">
        <v>0</v>
      </c>
      <c r="C35" s="2">
        <v>0</v>
      </c>
      <c r="D35" s="2">
        <v>0</v>
      </c>
      <c r="E35" s="2">
        <v>0</v>
      </c>
      <c r="F35" s="2">
        <v>0</v>
      </c>
      <c r="G35" s="2">
        <v>0</v>
      </c>
      <c r="H35" s="2">
        <v>0</v>
      </c>
      <c r="I35" s="2">
        <v>0</v>
      </c>
      <c r="J35" s="2">
        <v>0</v>
      </c>
      <c r="K35" s="2">
        <v>0</v>
      </c>
      <c r="L35" s="2">
        <v>38.01</v>
      </c>
      <c r="M35" s="2">
        <v>0</v>
      </c>
      <c r="N35" s="2">
        <v>53.03</v>
      </c>
      <c r="O35" s="2">
        <f>657.01+1270.22</f>
        <v>1927.23</v>
      </c>
      <c r="P35" s="2">
        <v>0</v>
      </c>
      <c r="Q35" s="2">
        <v>0</v>
      </c>
      <c r="R35" s="1"/>
      <c r="S35" s="3">
        <f t="shared" si="10"/>
        <v>2018.27</v>
      </c>
      <c r="T35" s="2">
        <f t="shared" si="11"/>
        <v>0</v>
      </c>
      <c r="U35" s="3">
        <f t="shared" si="4"/>
        <v>-2018.27</v>
      </c>
      <c r="V35" s="4">
        <f t="shared" si="5"/>
        <v>0</v>
      </c>
    </row>
    <row r="36" spans="1:23" x14ac:dyDescent="0.25">
      <c r="A36" s="40" t="s">
        <v>116</v>
      </c>
      <c r="B36" s="41">
        <v>0</v>
      </c>
      <c r="C36" s="2">
        <v>0</v>
      </c>
      <c r="D36" s="2">
        <v>0</v>
      </c>
      <c r="E36" s="2">
        <v>0</v>
      </c>
      <c r="F36" s="2">
        <v>0</v>
      </c>
      <c r="G36" s="2">
        <v>0</v>
      </c>
      <c r="H36" s="2">
        <v>0</v>
      </c>
      <c r="I36" s="2">
        <v>0</v>
      </c>
      <c r="J36" s="2">
        <v>0</v>
      </c>
      <c r="K36" s="2">
        <v>0</v>
      </c>
      <c r="L36" s="2">
        <v>0</v>
      </c>
      <c r="M36" s="2">
        <v>0</v>
      </c>
      <c r="N36" s="2">
        <v>0</v>
      </c>
      <c r="O36" s="2">
        <v>0</v>
      </c>
      <c r="P36" s="2">
        <f>130+100</f>
        <v>230</v>
      </c>
      <c r="Q36" s="2">
        <v>0</v>
      </c>
      <c r="R36" s="1"/>
      <c r="S36" s="3">
        <f t="shared" si="10"/>
        <v>230</v>
      </c>
      <c r="T36" s="2">
        <f t="shared" si="11"/>
        <v>0</v>
      </c>
      <c r="U36" s="3">
        <f t="shared" si="4"/>
        <v>-230</v>
      </c>
      <c r="V36" s="4">
        <f t="shared" si="5"/>
        <v>0</v>
      </c>
    </row>
    <row r="37" spans="1:23" x14ac:dyDescent="0.25">
      <c r="A37" s="40" t="s">
        <v>117</v>
      </c>
      <c r="B37" s="41">
        <v>0</v>
      </c>
      <c r="C37" s="2">
        <v>0</v>
      </c>
      <c r="D37" s="2">
        <v>0</v>
      </c>
      <c r="E37" s="2">
        <v>0</v>
      </c>
      <c r="F37" s="2">
        <v>0</v>
      </c>
      <c r="G37" s="2">
        <v>0</v>
      </c>
      <c r="H37" s="2">
        <v>0</v>
      </c>
      <c r="I37" s="2">
        <v>0</v>
      </c>
      <c r="J37" s="2">
        <v>0</v>
      </c>
      <c r="K37" s="2">
        <v>0</v>
      </c>
      <c r="L37" s="2">
        <v>0</v>
      </c>
      <c r="M37" s="2">
        <v>0</v>
      </c>
      <c r="N37" s="2">
        <v>0</v>
      </c>
      <c r="O37" s="2">
        <v>0</v>
      </c>
      <c r="P37" s="2">
        <v>200</v>
      </c>
      <c r="Q37" s="2">
        <v>0</v>
      </c>
      <c r="R37" s="1"/>
      <c r="S37" s="3">
        <f t="shared" si="10"/>
        <v>200</v>
      </c>
      <c r="T37" s="2">
        <f t="shared" si="11"/>
        <v>0</v>
      </c>
      <c r="U37" s="3">
        <f t="shared" si="4"/>
        <v>-200</v>
      </c>
      <c r="V37" s="4">
        <f t="shared" si="5"/>
        <v>0</v>
      </c>
    </row>
    <row r="38" spans="1:23" x14ac:dyDescent="0.25">
      <c r="A38" s="40" t="s">
        <v>118</v>
      </c>
      <c r="B38" s="41">
        <v>0</v>
      </c>
      <c r="C38" s="2">
        <v>0</v>
      </c>
      <c r="D38" s="2">
        <v>0</v>
      </c>
      <c r="E38" s="2">
        <v>0</v>
      </c>
      <c r="F38" s="2">
        <v>0</v>
      </c>
      <c r="G38" s="2">
        <v>0</v>
      </c>
      <c r="H38" s="2">
        <v>0</v>
      </c>
      <c r="I38" s="2">
        <v>0</v>
      </c>
      <c r="J38" s="2">
        <v>0</v>
      </c>
      <c r="K38" s="2">
        <v>0</v>
      </c>
      <c r="L38" s="2">
        <v>0</v>
      </c>
      <c r="M38" s="2">
        <v>0</v>
      </c>
      <c r="N38" s="2">
        <v>0</v>
      </c>
      <c r="O38" s="2">
        <v>0</v>
      </c>
      <c r="P38" s="2">
        <v>200</v>
      </c>
      <c r="Q38" s="2">
        <v>0</v>
      </c>
      <c r="R38" s="1"/>
      <c r="S38" s="3">
        <f t="shared" si="10"/>
        <v>200</v>
      </c>
      <c r="T38" s="2">
        <f t="shared" si="11"/>
        <v>0</v>
      </c>
      <c r="U38" s="3">
        <f t="shared" si="4"/>
        <v>-200</v>
      </c>
      <c r="V38" s="4">
        <f t="shared" si="5"/>
        <v>0</v>
      </c>
    </row>
    <row r="39" spans="1:23" s="32" customFormat="1" ht="15" x14ac:dyDescent="0.25">
      <c r="A39" s="62" t="s">
        <v>119</v>
      </c>
      <c r="B39" s="65"/>
      <c r="C39" s="65"/>
      <c r="D39" s="66"/>
      <c r="E39" s="66"/>
      <c r="F39" s="66"/>
      <c r="G39" s="66"/>
      <c r="H39" s="66"/>
      <c r="I39" s="66"/>
      <c r="J39" s="66"/>
      <c r="K39" s="66"/>
      <c r="L39" s="66"/>
      <c r="M39" s="66"/>
      <c r="N39" s="66"/>
      <c r="O39" s="66"/>
      <c r="P39" s="66"/>
      <c r="Q39" s="71"/>
      <c r="R39" s="1"/>
      <c r="S39" s="67"/>
      <c r="T39" s="66"/>
      <c r="U39" s="67"/>
      <c r="V39" s="68"/>
    </row>
    <row r="40" spans="1:23" x14ac:dyDescent="0.25">
      <c r="A40" s="40" t="s">
        <v>39</v>
      </c>
      <c r="B40" s="41">
        <v>500</v>
      </c>
      <c r="C40" s="2">
        <v>0</v>
      </c>
      <c r="D40" s="2">
        <v>0</v>
      </c>
      <c r="E40" s="2">
        <v>0</v>
      </c>
      <c r="F40" s="2">
        <v>0</v>
      </c>
      <c r="G40" s="2">
        <v>0</v>
      </c>
      <c r="H40" s="2">
        <v>0</v>
      </c>
      <c r="I40" s="2">
        <v>0</v>
      </c>
      <c r="J40" s="2">
        <v>0</v>
      </c>
      <c r="K40" s="2">
        <v>0</v>
      </c>
      <c r="L40" s="2">
        <v>0</v>
      </c>
      <c r="M40" s="2">
        <v>0</v>
      </c>
      <c r="N40" s="2">
        <v>0</v>
      </c>
      <c r="O40" s="2">
        <v>0</v>
      </c>
      <c r="P40" s="2">
        <v>0</v>
      </c>
      <c r="Q40" s="2">
        <v>0</v>
      </c>
      <c r="R40" s="1"/>
      <c r="S40" s="3">
        <f t="shared" ref="S40:S49" si="14">SUM(C40:Q40)</f>
        <v>0</v>
      </c>
      <c r="T40" s="2">
        <f t="shared" ref="T40:T49" si="15">B40</f>
        <v>500</v>
      </c>
      <c r="U40" s="3">
        <f t="shared" si="4"/>
        <v>500</v>
      </c>
      <c r="V40" s="4">
        <f t="shared" si="5"/>
        <v>1</v>
      </c>
    </row>
    <row r="41" spans="1:23" x14ac:dyDescent="0.25">
      <c r="A41" s="40" t="s">
        <v>120</v>
      </c>
      <c r="B41" s="41">
        <f>(102*35)+(102*35*17%)</f>
        <v>4176.8999999999996</v>
      </c>
      <c r="C41" s="2">
        <v>0</v>
      </c>
      <c r="D41" s="2">
        <v>0</v>
      </c>
      <c r="E41" s="2">
        <v>0</v>
      </c>
      <c r="F41" s="2">
        <v>0</v>
      </c>
      <c r="G41" s="2">
        <v>0</v>
      </c>
      <c r="H41" s="2">
        <v>0</v>
      </c>
      <c r="I41" s="2">
        <v>0</v>
      </c>
      <c r="J41" s="2">
        <v>0</v>
      </c>
      <c r="K41" s="2">
        <v>0</v>
      </c>
      <c r="L41" s="2">
        <v>0</v>
      </c>
      <c r="M41" s="2">
        <v>0</v>
      </c>
      <c r="N41" s="2">
        <v>0</v>
      </c>
      <c r="O41" s="2">
        <v>0</v>
      </c>
      <c r="P41" s="2">
        <f>3521.7+292.5+234-117</f>
        <v>3931.2</v>
      </c>
      <c r="Q41" s="2">
        <v>0</v>
      </c>
      <c r="R41" s="1"/>
      <c r="S41" s="3">
        <f t="shared" si="14"/>
        <v>3931.2</v>
      </c>
      <c r="T41" s="2">
        <f t="shared" si="15"/>
        <v>4176.8999999999996</v>
      </c>
      <c r="U41" s="3">
        <f t="shared" si="4"/>
        <v>245.69999999999982</v>
      </c>
      <c r="V41" s="4">
        <f t="shared" si="5"/>
        <v>5.882352941176467E-2</v>
      </c>
    </row>
    <row r="42" spans="1:23" x14ac:dyDescent="0.25">
      <c r="A42" s="40" t="s">
        <v>121</v>
      </c>
      <c r="B42" s="41">
        <f>2559.69+2197.08</f>
        <v>4756.7700000000004</v>
      </c>
      <c r="C42" s="2">
        <v>0</v>
      </c>
      <c r="D42" s="2">
        <v>0</v>
      </c>
      <c r="E42" s="2">
        <v>0</v>
      </c>
      <c r="F42" s="2">
        <v>0</v>
      </c>
      <c r="G42" s="2">
        <v>0</v>
      </c>
      <c r="H42" s="2">
        <v>0</v>
      </c>
      <c r="I42" s="2">
        <v>0</v>
      </c>
      <c r="J42" s="2">
        <v>0</v>
      </c>
      <c r="K42" s="2">
        <v>0</v>
      </c>
      <c r="L42" s="2">
        <v>0</v>
      </c>
      <c r="M42" s="2">
        <v>0</v>
      </c>
      <c r="N42" s="2">
        <v>0</v>
      </c>
      <c r="O42" s="2">
        <v>0</v>
      </c>
      <c r="P42" s="2">
        <f>2559.69+2319.14-2033.25-271.1</f>
        <v>2574.48</v>
      </c>
      <c r="Q42" s="2">
        <v>0</v>
      </c>
      <c r="R42" s="1"/>
      <c r="S42" s="3">
        <f t="shared" si="14"/>
        <v>2574.48</v>
      </c>
      <c r="T42" s="2">
        <f t="shared" si="15"/>
        <v>4756.7700000000004</v>
      </c>
      <c r="U42" s="3">
        <f t="shared" si="4"/>
        <v>2182.2900000000004</v>
      </c>
      <c r="V42" s="4">
        <f t="shared" si="5"/>
        <v>0.45877559772702908</v>
      </c>
    </row>
    <row r="43" spans="1:23" x14ac:dyDescent="0.25">
      <c r="A43" s="40" t="s">
        <v>122</v>
      </c>
      <c r="B43" s="41">
        <v>15057</v>
      </c>
      <c r="C43" s="2">
        <v>0</v>
      </c>
      <c r="D43" s="2">
        <v>0</v>
      </c>
      <c r="E43" s="2">
        <v>0</v>
      </c>
      <c r="F43" s="2">
        <v>0</v>
      </c>
      <c r="G43" s="2">
        <v>0</v>
      </c>
      <c r="H43" s="2">
        <v>0</v>
      </c>
      <c r="I43" s="2">
        <v>0</v>
      </c>
      <c r="J43" s="2">
        <v>0</v>
      </c>
      <c r="K43" s="2">
        <v>0</v>
      </c>
      <c r="L43" s="2">
        <v>0</v>
      </c>
      <c r="M43" s="2">
        <v>0</v>
      </c>
      <c r="N43" s="2">
        <v>0</v>
      </c>
      <c r="O43" s="2">
        <v>0</v>
      </c>
      <c r="P43" s="2">
        <v>15057</v>
      </c>
      <c r="Q43" s="2">
        <v>0</v>
      </c>
      <c r="R43" s="1"/>
      <c r="S43" s="3">
        <f t="shared" si="14"/>
        <v>15057</v>
      </c>
      <c r="T43" s="2">
        <f t="shared" si="15"/>
        <v>15057</v>
      </c>
      <c r="U43" s="3">
        <f t="shared" si="4"/>
        <v>0</v>
      </c>
      <c r="V43" s="4">
        <f t="shared" si="5"/>
        <v>0</v>
      </c>
    </row>
    <row r="44" spans="1:23" x14ac:dyDescent="0.25">
      <c r="A44" s="40" t="s">
        <v>123</v>
      </c>
      <c r="B44" s="41">
        <v>12924</v>
      </c>
      <c r="C44" s="2">
        <v>0</v>
      </c>
      <c r="D44" s="2">
        <v>0</v>
      </c>
      <c r="E44" s="2">
        <v>0</v>
      </c>
      <c r="F44" s="2">
        <v>0</v>
      </c>
      <c r="G44" s="2">
        <v>0</v>
      </c>
      <c r="H44" s="2">
        <v>0</v>
      </c>
      <c r="I44" s="2">
        <v>0</v>
      </c>
      <c r="J44" s="2">
        <v>0</v>
      </c>
      <c r="K44" s="2">
        <v>0</v>
      </c>
      <c r="L44" s="2">
        <v>0</v>
      </c>
      <c r="M44" s="2">
        <v>0</v>
      </c>
      <c r="N44" s="2">
        <v>0</v>
      </c>
      <c r="O44" s="2">
        <v>0</v>
      </c>
      <c r="P44" s="2">
        <f>13642-13555</f>
        <v>87</v>
      </c>
      <c r="Q44" s="2">
        <v>0</v>
      </c>
      <c r="R44" s="1"/>
      <c r="S44" s="3">
        <f t="shared" si="14"/>
        <v>87</v>
      </c>
      <c r="T44" s="2">
        <f t="shared" si="15"/>
        <v>12924</v>
      </c>
      <c r="U44" s="3">
        <f t="shared" si="4"/>
        <v>12837</v>
      </c>
      <c r="V44" s="4">
        <f t="shared" si="5"/>
        <v>0.99326833797585889</v>
      </c>
    </row>
    <row r="45" spans="1:23" x14ac:dyDescent="0.25">
      <c r="A45" s="40" t="s">
        <v>124</v>
      </c>
      <c r="B45" s="41">
        <v>0</v>
      </c>
      <c r="C45" s="2">
        <v>0</v>
      </c>
      <c r="D45" s="2">
        <v>0</v>
      </c>
      <c r="E45" s="2">
        <v>0</v>
      </c>
      <c r="F45" s="2">
        <v>0</v>
      </c>
      <c r="G45" s="2">
        <v>0</v>
      </c>
      <c r="H45" s="2">
        <v>0</v>
      </c>
      <c r="I45" s="2">
        <v>0</v>
      </c>
      <c r="J45" s="2">
        <v>0</v>
      </c>
      <c r="K45" s="2">
        <v>0</v>
      </c>
      <c r="L45" s="2">
        <v>0</v>
      </c>
      <c r="M45" s="2">
        <v>0</v>
      </c>
      <c r="N45" s="2">
        <v>0</v>
      </c>
      <c r="O45" s="2">
        <v>379.08</v>
      </c>
      <c r="P45" s="2">
        <v>0</v>
      </c>
      <c r="Q45" s="2">
        <v>0</v>
      </c>
      <c r="R45" s="1"/>
      <c r="S45" s="3">
        <f t="shared" si="14"/>
        <v>379.08</v>
      </c>
      <c r="T45" s="2">
        <f t="shared" si="15"/>
        <v>0</v>
      </c>
      <c r="U45" s="3">
        <f t="shared" ref="U45:U49" si="16">T45-S45</f>
        <v>-379.08</v>
      </c>
      <c r="V45" s="4">
        <f t="shared" ref="V45:V49" si="17">IFERROR(U45/T45,0)</f>
        <v>0</v>
      </c>
      <c r="W45" s="95"/>
    </row>
    <row r="46" spans="1:23" x14ac:dyDescent="0.25">
      <c r="A46" s="40" t="s">
        <v>125</v>
      </c>
      <c r="B46" s="41">
        <v>0</v>
      </c>
      <c r="C46" s="2">
        <v>0</v>
      </c>
      <c r="D46" s="2">
        <v>0</v>
      </c>
      <c r="E46" s="2">
        <v>0</v>
      </c>
      <c r="F46" s="2">
        <v>0</v>
      </c>
      <c r="G46" s="2">
        <v>0</v>
      </c>
      <c r="H46" s="2">
        <v>0</v>
      </c>
      <c r="I46" s="2">
        <v>0</v>
      </c>
      <c r="J46" s="2">
        <v>0</v>
      </c>
      <c r="K46" s="2">
        <v>0</v>
      </c>
      <c r="L46" s="2">
        <v>0</v>
      </c>
      <c r="M46" s="2">
        <v>0</v>
      </c>
      <c r="N46" s="2">
        <v>0</v>
      </c>
      <c r="O46" s="2">
        <v>0</v>
      </c>
      <c r="P46" s="2">
        <v>125</v>
      </c>
      <c r="Q46" s="2">
        <v>0</v>
      </c>
      <c r="R46" s="1"/>
      <c r="S46" s="3">
        <f t="shared" si="14"/>
        <v>125</v>
      </c>
      <c r="T46" s="2">
        <f t="shared" si="15"/>
        <v>0</v>
      </c>
      <c r="U46" s="3">
        <f t="shared" si="16"/>
        <v>-125</v>
      </c>
      <c r="V46" s="4">
        <f t="shared" si="17"/>
        <v>0</v>
      </c>
      <c r="W46" s="95"/>
    </row>
    <row r="47" spans="1:23" x14ac:dyDescent="0.25">
      <c r="A47" s="40" t="s">
        <v>126</v>
      </c>
      <c r="B47" s="41">
        <v>0</v>
      </c>
      <c r="C47" s="2">
        <v>0</v>
      </c>
      <c r="D47" s="2">
        <v>0</v>
      </c>
      <c r="E47" s="2">
        <v>0</v>
      </c>
      <c r="F47" s="2">
        <v>0</v>
      </c>
      <c r="G47" s="2">
        <v>0</v>
      </c>
      <c r="H47" s="2">
        <v>0</v>
      </c>
      <c r="I47" s="2">
        <v>0</v>
      </c>
      <c r="J47" s="2">
        <v>0</v>
      </c>
      <c r="K47" s="2">
        <v>0</v>
      </c>
      <c r="L47" s="2">
        <v>0</v>
      </c>
      <c r="M47" s="2">
        <v>0</v>
      </c>
      <c r="N47" s="2">
        <v>0</v>
      </c>
      <c r="O47" s="2">
        <v>0</v>
      </c>
      <c r="P47" s="2">
        <v>200</v>
      </c>
      <c r="Q47" s="2">
        <v>0</v>
      </c>
      <c r="R47" s="1"/>
      <c r="S47" s="3">
        <f t="shared" si="14"/>
        <v>200</v>
      </c>
      <c r="T47" s="2">
        <f t="shared" si="15"/>
        <v>0</v>
      </c>
      <c r="U47" s="3">
        <f t="shared" si="16"/>
        <v>-200</v>
      </c>
      <c r="V47" s="4">
        <f t="shared" si="17"/>
        <v>0</v>
      </c>
      <c r="W47" s="95"/>
    </row>
    <row r="48" spans="1:23" x14ac:dyDescent="0.25">
      <c r="A48" s="40" t="s">
        <v>127</v>
      </c>
      <c r="B48" s="41">
        <v>0</v>
      </c>
      <c r="C48" s="2">
        <v>0</v>
      </c>
      <c r="D48" s="2">
        <v>0</v>
      </c>
      <c r="E48" s="2">
        <v>0</v>
      </c>
      <c r="F48" s="2">
        <v>0</v>
      </c>
      <c r="G48" s="2">
        <v>0</v>
      </c>
      <c r="H48" s="2">
        <v>0</v>
      </c>
      <c r="I48" s="2">
        <v>0</v>
      </c>
      <c r="J48" s="2">
        <v>0</v>
      </c>
      <c r="K48" s="2">
        <v>0</v>
      </c>
      <c r="L48" s="2">
        <v>0</v>
      </c>
      <c r="M48" s="2">
        <v>0</v>
      </c>
      <c r="N48" s="2">
        <v>0</v>
      </c>
      <c r="O48" s="2">
        <v>0</v>
      </c>
      <c r="P48" s="2">
        <f>375+175</f>
        <v>550</v>
      </c>
      <c r="Q48" s="2">
        <v>0</v>
      </c>
      <c r="R48" s="1"/>
      <c r="S48" s="3">
        <f t="shared" si="14"/>
        <v>550</v>
      </c>
      <c r="T48" s="2">
        <f t="shared" si="15"/>
        <v>0</v>
      </c>
      <c r="U48" s="3">
        <f t="shared" si="16"/>
        <v>-550</v>
      </c>
      <c r="V48" s="4">
        <f t="shared" si="17"/>
        <v>0</v>
      </c>
      <c r="W48" s="95"/>
    </row>
    <row r="49" spans="1:23" x14ac:dyDescent="0.25">
      <c r="A49" s="40" t="s">
        <v>128</v>
      </c>
      <c r="B49" s="41">
        <v>0</v>
      </c>
      <c r="C49" s="2">
        <v>0</v>
      </c>
      <c r="D49" s="2">
        <v>0</v>
      </c>
      <c r="E49" s="2">
        <v>0</v>
      </c>
      <c r="F49" s="2">
        <v>0</v>
      </c>
      <c r="G49" s="2">
        <v>0</v>
      </c>
      <c r="H49" s="2">
        <v>0</v>
      </c>
      <c r="I49" s="2">
        <v>0</v>
      </c>
      <c r="J49" s="2">
        <v>0</v>
      </c>
      <c r="K49" s="2">
        <v>0</v>
      </c>
      <c r="L49" s="2">
        <v>0</v>
      </c>
      <c r="M49" s="2">
        <v>0</v>
      </c>
      <c r="N49" s="2">
        <v>0</v>
      </c>
      <c r="O49" s="2">
        <v>0</v>
      </c>
      <c r="P49" s="2">
        <v>575</v>
      </c>
      <c r="Q49" s="2">
        <v>0</v>
      </c>
      <c r="R49" s="1"/>
      <c r="S49" s="3">
        <f t="shared" si="14"/>
        <v>575</v>
      </c>
      <c r="T49" s="2">
        <f t="shared" si="15"/>
        <v>0</v>
      </c>
      <c r="U49" s="3">
        <f t="shared" si="16"/>
        <v>-575</v>
      </c>
      <c r="V49" s="4">
        <f t="shared" si="17"/>
        <v>0</v>
      </c>
      <c r="W49" s="95"/>
    </row>
    <row r="50" spans="1:23" ht="15" x14ac:dyDescent="0.25">
      <c r="A50" s="62" t="s">
        <v>129</v>
      </c>
      <c r="B50" s="65"/>
      <c r="C50" s="65"/>
      <c r="D50" s="66"/>
      <c r="E50" s="66"/>
      <c r="F50" s="66"/>
      <c r="G50" s="66"/>
      <c r="H50" s="66"/>
      <c r="I50" s="66"/>
      <c r="J50" s="66"/>
      <c r="K50" s="66"/>
      <c r="L50" s="66"/>
      <c r="M50" s="66"/>
      <c r="N50" s="66"/>
      <c r="O50" s="66"/>
      <c r="P50" s="66"/>
      <c r="Q50" s="71"/>
      <c r="R50" s="1"/>
      <c r="S50" s="67"/>
      <c r="T50" s="66"/>
      <c r="U50" s="67"/>
      <c r="V50" s="68"/>
    </row>
    <row r="51" spans="1:23" x14ac:dyDescent="0.25">
      <c r="A51" s="40" t="s">
        <v>14</v>
      </c>
      <c r="B51" s="41">
        <v>500</v>
      </c>
      <c r="C51" s="2">
        <v>0</v>
      </c>
      <c r="D51" s="2">
        <v>0</v>
      </c>
      <c r="E51" s="2">
        <v>0</v>
      </c>
      <c r="F51" s="2">
        <v>0</v>
      </c>
      <c r="G51" s="2">
        <v>0</v>
      </c>
      <c r="H51" s="2">
        <v>0</v>
      </c>
      <c r="I51" s="2">
        <v>0</v>
      </c>
      <c r="J51" s="2">
        <v>0</v>
      </c>
      <c r="K51" s="2">
        <v>0</v>
      </c>
      <c r="L51" s="2">
        <v>0</v>
      </c>
      <c r="M51" s="2">
        <v>0</v>
      </c>
      <c r="N51" s="2">
        <v>0</v>
      </c>
      <c r="O51" s="2">
        <v>0</v>
      </c>
      <c r="P51" s="2">
        <v>0</v>
      </c>
      <c r="Q51" s="2">
        <v>0</v>
      </c>
      <c r="R51" s="1"/>
      <c r="S51" s="3">
        <f>SUM(C51:Q51)</f>
        <v>0</v>
      </c>
      <c r="T51" s="2">
        <f>B51</f>
        <v>500</v>
      </c>
      <c r="U51" s="3">
        <f t="shared" si="4"/>
        <v>500</v>
      </c>
      <c r="V51" s="4">
        <f t="shared" si="5"/>
        <v>1</v>
      </c>
    </row>
    <row r="52" spans="1:23" x14ac:dyDescent="0.25">
      <c r="A52" s="40" t="s">
        <v>130</v>
      </c>
      <c r="B52" s="41">
        <f>(40*200)+(40*200*32%)</f>
        <v>10560</v>
      </c>
      <c r="C52" s="2">
        <v>0</v>
      </c>
      <c r="D52" s="2">
        <v>0</v>
      </c>
      <c r="E52" s="2">
        <v>0</v>
      </c>
      <c r="F52" s="2">
        <v>0</v>
      </c>
      <c r="G52" s="2">
        <v>0</v>
      </c>
      <c r="H52" s="2">
        <v>0</v>
      </c>
      <c r="I52" s="2">
        <v>0</v>
      </c>
      <c r="J52" s="2">
        <v>0</v>
      </c>
      <c r="K52" s="2">
        <v>0</v>
      </c>
      <c r="L52" s="2">
        <v>0</v>
      </c>
      <c r="M52" s="2">
        <v>0</v>
      </c>
      <c r="N52" s="2">
        <v>0</v>
      </c>
      <c r="O52" s="2">
        <v>0</v>
      </c>
      <c r="P52" s="2">
        <v>6600</v>
      </c>
      <c r="Q52" s="2">
        <v>0</v>
      </c>
      <c r="R52" s="1"/>
      <c r="S52" s="3">
        <f>SUM(C52:Q52)</f>
        <v>6600</v>
      </c>
      <c r="T52" s="2">
        <f>B52</f>
        <v>10560</v>
      </c>
      <c r="U52" s="3">
        <f t="shared" si="4"/>
        <v>3960</v>
      </c>
      <c r="V52" s="4">
        <f t="shared" si="5"/>
        <v>0.375</v>
      </c>
    </row>
    <row r="53" spans="1:23" s="32" customFormat="1" ht="15" x14ac:dyDescent="0.25">
      <c r="A53" s="62" t="s">
        <v>131</v>
      </c>
      <c r="B53" s="65"/>
      <c r="C53" s="65"/>
      <c r="D53" s="66"/>
      <c r="E53" s="66"/>
      <c r="F53" s="66"/>
      <c r="G53" s="66"/>
      <c r="H53" s="66"/>
      <c r="I53" s="66"/>
      <c r="J53" s="66"/>
      <c r="K53" s="66"/>
      <c r="L53" s="66"/>
      <c r="M53" s="66"/>
      <c r="N53" s="66"/>
      <c r="O53" s="66"/>
      <c r="P53" s="66"/>
      <c r="Q53" s="71"/>
      <c r="R53" s="1"/>
      <c r="S53" s="67"/>
      <c r="T53" s="66"/>
      <c r="U53" s="67"/>
      <c r="V53" s="68"/>
    </row>
    <row r="54" spans="1:23" s="32" customFormat="1" x14ac:dyDescent="0.25">
      <c r="A54" s="40" t="s">
        <v>14</v>
      </c>
      <c r="B54" s="41">
        <v>500</v>
      </c>
      <c r="C54" s="2">
        <v>0</v>
      </c>
      <c r="D54" s="2">
        <v>0</v>
      </c>
      <c r="E54" s="2">
        <v>0</v>
      </c>
      <c r="F54" s="2">
        <v>0</v>
      </c>
      <c r="G54" s="2">
        <v>0</v>
      </c>
      <c r="H54" s="2">
        <v>0</v>
      </c>
      <c r="I54" s="2">
        <v>0</v>
      </c>
      <c r="J54" s="2">
        <v>0</v>
      </c>
      <c r="K54" s="2">
        <v>0</v>
      </c>
      <c r="L54" s="2">
        <v>0</v>
      </c>
      <c r="M54" s="2">
        <v>0</v>
      </c>
      <c r="N54" s="2">
        <v>0</v>
      </c>
      <c r="O54" s="2">
        <v>0</v>
      </c>
      <c r="P54" s="2">
        <v>0</v>
      </c>
      <c r="Q54" s="2">
        <v>0</v>
      </c>
      <c r="R54" s="1"/>
      <c r="S54" s="3">
        <f>SUM(C54:Q54)</f>
        <v>0</v>
      </c>
      <c r="T54" s="2">
        <f>B54</f>
        <v>500</v>
      </c>
      <c r="U54" s="3">
        <f t="shared" si="4"/>
        <v>500</v>
      </c>
      <c r="V54" s="4">
        <f t="shared" si="5"/>
        <v>1</v>
      </c>
    </row>
    <row r="55" spans="1:23" s="32" customFormat="1" x14ac:dyDescent="0.25">
      <c r="A55" s="40" t="s">
        <v>132</v>
      </c>
      <c r="B55" s="41">
        <v>7500</v>
      </c>
      <c r="C55" s="2">
        <v>0</v>
      </c>
      <c r="D55" s="2">
        <v>0</v>
      </c>
      <c r="E55" s="2">
        <v>0</v>
      </c>
      <c r="F55" s="2">
        <v>0</v>
      </c>
      <c r="G55" s="2">
        <v>0</v>
      </c>
      <c r="H55" s="2">
        <v>0</v>
      </c>
      <c r="I55" s="2">
        <v>0</v>
      </c>
      <c r="J55" s="2">
        <v>0</v>
      </c>
      <c r="K55" s="2">
        <v>0</v>
      </c>
      <c r="L55" s="2">
        <v>0</v>
      </c>
      <c r="M55" s="2">
        <v>0</v>
      </c>
      <c r="N55" s="2">
        <v>6700</v>
      </c>
      <c r="O55" s="2"/>
      <c r="P55" s="2">
        <v>0</v>
      </c>
      <c r="Q55" s="2">
        <v>0</v>
      </c>
      <c r="R55" s="1"/>
      <c r="S55" s="3">
        <f>SUM(C55:Q55)</f>
        <v>6700</v>
      </c>
      <c r="T55" s="2">
        <f>B55</f>
        <v>7500</v>
      </c>
      <c r="U55" s="3">
        <f t="shared" si="4"/>
        <v>800</v>
      </c>
      <c r="V55" s="4">
        <f t="shared" si="5"/>
        <v>0.10666666666666667</v>
      </c>
    </row>
    <row r="56" spans="1:23" s="32" customFormat="1" x14ac:dyDescent="0.25">
      <c r="A56" s="40" t="s">
        <v>133</v>
      </c>
      <c r="B56" s="41">
        <v>15000</v>
      </c>
      <c r="C56" s="2">
        <v>0</v>
      </c>
      <c r="D56" s="2">
        <v>0</v>
      </c>
      <c r="E56" s="2">
        <v>0</v>
      </c>
      <c r="F56" s="2">
        <v>0</v>
      </c>
      <c r="G56" s="2">
        <v>7500</v>
      </c>
      <c r="H56" s="2">
        <v>0</v>
      </c>
      <c r="I56" s="2">
        <v>0</v>
      </c>
      <c r="J56" s="2">
        <v>0</v>
      </c>
      <c r="K56" s="2">
        <v>0</v>
      </c>
      <c r="L56" s="2">
        <v>0</v>
      </c>
      <c r="M56" s="2">
        <v>0</v>
      </c>
      <c r="N56" s="2">
        <v>0</v>
      </c>
      <c r="O56" s="2">
        <v>0</v>
      </c>
      <c r="P56" s="2">
        <v>0</v>
      </c>
      <c r="Q56" s="2">
        <v>7500</v>
      </c>
      <c r="R56" s="1"/>
      <c r="S56" s="3">
        <f>SUM(C56:Q56)</f>
        <v>15000</v>
      </c>
      <c r="T56" s="2">
        <f>B56</f>
        <v>15000</v>
      </c>
      <c r="U56" s="3">
        <f t="shared" si="4"/>
        <v>0</v>
      </c>
      <c r="V56" s="4">
        <f t="shared" si="5"/>
        <v>0</v>
      </c>
    </row>
    <row r="57" spans="1:23" s="32" customFormat="1" x14ac:dyDescent="0.25">
      <c r="A57" s="40" t="s">
        <v>134</v>
      </c>
      <c r="B57" s="41">
        <v>15000</v>
      </c>
      <c r="C57" s="2">
        <v>0</v>
      </c>
      <c r="D57" s="2">
        <v>0</v>
      </c>
      <c r="E57" s="2">
        <v>0</v>
      </c>
      <c r="F57" s="2">
        <v>0</v>
      </c>
      <c r="G57" s="2">
        <v>0</v>
      </c>
      <c r="H57" s="2">
        <v>0</v>
      </c>
      <c r="I57" s="2">
        <v>11500</v>
      </c>
      <c r="J57" s="2">
        <v>0</v>
      </c>
      <c r="K57" s="2">
        <v>0</v>
      </c>
      <c r="L57" s="2">
        <v>0</v>
      </c>
      <c r="M57" s="2">
        <v>0</v>
      </c>
      <c r="N57" s="2">
        <v>0</v>
      </c>
      <c r="O57" s="2"/>
      <c r="P57" s="2">
        <v>0</v>
      </c>
      <c r="Q57" s="2">
        <v>3500</v>
      </c>
      <c r="R57" s="1"/>
      <c r="S57" s="3">
        <f>SUM(C57:Q57)</f>
        <v>15000</v>
      </c>
      <c r="T57" s="2">
        <f>B57</f>
        <v>15000</v>
      </c>
      <c r="U57" s="3">
        <f t="shared" si="4"/>
        <v>0</v>
      </c>
      <c r="V57" s="4">
        <f t="shared" si="5"/>
        <v>0</v>
      </c>
    </row>
    <row r="58" spans="1:23" s="32" customFormat="1" ht="15" x14ac:dyDescent="0.25">
      <c r="A58" s="62" t="s">
        <v>135</v>
      </c>
      <c r="B58" s="65"/>
      <c r="C58" s="65"/>
      <c r="D58" s="66"/>
      <c r="E58" s="66"/>
      <c r="F58" s="66"/>
      <c r="G58" s="66"/>
      <c r="H58" s="66"/>
      <c r="I58" s="66"/>
      <c r="J58" s="66"/>
      <c r="K58" s="66"/>
      <c r="L58" s="66"/>
      <c r="M58" s="66"/>
      <c r="N58" s="66"/>
      <c r="O58" s="66"/>
      <c r="P58" s="66"/>
      <c r="Q58" s="71"/>
      <c r="R58" s="1"/>
      <c r="S58" s="67"/>
      <c r="T58" s="66"/>
      <c r="U58" s="67"/>
      <c r="V58" s="68"/>
    </row>
    <row r="59" spans="1:23" s="32" customFormat="1" x14ac:dyDescent="0.25">
      <c r="A59" s="55" t="s">
        <v>136</v>
      </c>
      <c r="B59" s="41">
        <v>3000</v>
      </c>
      <c r="C59" s="2">
        <v>0</v>
      </c>
      <c r="D59" s="2">
        <v>0</v>
      </c>
      <c r="E59" s="2">
        <v>0</v>
      </c>
      <c r="F59" s="2">
        <v>0</v>
      </c>
      <c r="G59" s="2">
        <v>0</v>
      </c>
      <c r="H59" s="2">
        <v>0</v>
      </c>
      <c r="I59" s="2">
        <v>0</v>
      </c>
      <c r="J59" s="2">
        <f>500+500</f>
        <v>1000</v>
      </c>
      <c r="K59" s="2">
        <v>0</v>
      </c>
      <c r="L59" s="2">
        <v>0</v>
      </c>
      <c r="M59" s="2">
        <v>0</v>
      </c>
      <c r="N59" s="2">
        <v>0</v>
      </c>
      <c r="O59" s="2">
        <v>0</v>
      </c>
      <c r="P59" s="2">
        <v>0</v>
      </c>
      <c r="Q59" s="61">
        <f>1000+500+500</f>
        <v>2000</v>
      </c>
      <c r="R59" s="1"/>
      <c r="S59" s="3">
        <f>SUM(C59:Q59)</f>
        <v>3000</v>
      </c>
      <c r="T59" s="2">
        <f>B59</f>
        <v>3000</v>
      </c>
      <c r="U59" s="3">
        <f t="shared" si="4"/>
        <v>0</v>
      </c>
      <c r="V59" s="4">
        <f t="shared" si="5"/>
        <v>0</v>
      </c>
    </row>
    <row r="60" spans="1:23" s="32" customFormat="1" x14ac:dyDescent="0.25">
      <c r="A60" s="40" t="s">
        <v>56</v>
      </c>
      <c r="B60" s="41">
        <v>1500</v>
      </c>
      <c r="C60" s="2">
        <v>0</v>
      </c>
      <c r="D60" s="2">
        <v>0</v>
      </c>
      <c r="E60" s="2">
        <v>0</v>
      </c>
      <c r="F60" s="2">
        <v>0</v>
      </c>
      <c r="G60" s="2">
        <v>0</v>
      </c>
      <c r="H60" s="2">
        <v>0</v>
      </c>
      <c r="I60" s="2">
        <v>0</v>
      </c>
      <c r="J60" s="2">
        <v>0</v>
      </c>
      <c r="K60" s="2">
        <v>0</v>
      </c>
      <c r="L60" s="2">
        <v>0</v>
      </c>
      <c r="M60" s="2">
        <v>0</v>
      </c>
      <c r="N60" s="2">
        <v>0</v>
      </c>
      <c r="O60" s="2">
        <v>0</v>
      </c>
      <c r="P60" s="2">
        <v>0</v>
      </c>
      <c r="Q60" s="2">
        <v>0</v>
      </c>
      <c r="R60" s="1"/>
      <c r="S60" s="3">
        <f>SUM(C60:Q60)</f>
        <v>0</v>
      </c>
      <c r="T60" s="2">
        <f>B60</f>
        <v>1500</v>
      </c>
      <c r="U60" s="3">
        <f t="shared" si="4"/>
        <v>1500</v>
      </c>
      <c r="V60" s="4">
        <f t="shared" si="5"/>
        <v>1</v>
      </c>
    </row>
    <row r="61" spans="1:23" s="32" customFormat="1" x14ac:dyDescent="0.25">
      <c r="A61" s="40" t="s">
        <v>137</v>
      </c>
      <c r="B61" s="41">
        <f>48300+500</f>
        <v>48800</v>
      </c>
      <c r="C61" s="2">
        <v>0</v>
      </c>
      <c r="D61" s="2">
        <v>0</v>
      </c>
      <c r="E61" s="2">
        <v>0</v>
      </c>
      <c r="F61" s="2">
        <v>0</v>
      </c>
      <c r="G61" s="2">
        <v>0</v>
      </c>
      <c r="H61" s="2">
        <v>0</v>
      </c>
      <c r="I61" s="2">
        <v>0</v>
      </c>
      <c r="J61" s="2">
        <v>0</v>
      </c>
      <c r="K61" s="2">
        <v>0</v>
      </c>
      <c r="L61" s="2">
        <v>0</v>
      </c>
      <c r="M61" s="2">
        <v>0</v>
      </c>
      <c r="N61" s="2">
        <v>0</v>
      </c>
      <c r="O61" s="2">
        <v>0</v>
      </c>
      <c r="P61" s="2">
        <v>35350</v>
      </c>
      <c r="Q61" s="2">
        <v>0</v>
      </c>
      <c r="R61" s="1"/>
      <c r="S61" s="3">
        <f>SUM(C61:Q61)</f>
        <v>35350</v>
      </c>
      <c r="T61" s="2">
        <f>B61</f>
        <v>48800</v>
      </c>
      <c r="U61" s="3">
        <f t="shared" si="4"/>
        <v>13450</v>
      </c>
      <c r="V61" s="4">
        <f t="shared" si="5"/>
        <v>0.27561475409836067</v>
      </c>
    </row>
    <row r="62" spans="1:23" s="32" customFormat="1" x14ac:dyDescent="0.25">
      <c r="A62" s="40" t="s">
        <v>138</v>
      </c>
      <c r="B62" s="41">
        <f>104000+2500</f>
        <v>106500</v>
      </c>
      <c r="C62" s="2">
        <v>0</v>
      </c>
      <c r="D62" s="2">
        <v>0</v>
      </c>
      <c r="E62" s="2">
        <v>0</v>
      </c>
      <c r="F62" s="2">
        <v>0</v>
      </c>
      <c r="G62" s="2">
        <v>0</v>
      </c>
      <c r="H62" s="2">
        <v>0</v>
      </c>
      <c r="I62" s="2">
        <v>0</v>
      </c>
      <c r="J62" s="2">
        <v>0</v>
      </c>
      <c r="K62" s="2">
        <v>0</v>
      </c>
      <c r="L62" s="2">
        <v>0</v>
      </c>
      <c r="M62" s="2">
        <v>0</v>
      </c>
      <c r="N62" s="2">
        <v>0</v>
      </c>
      <c r="O62" s="2">
        <v>0</v>
      </c>
      <c r="P62" s="2">
        <v>107152.85</v>
      </c>
      <c r="Q62" s="2">
        <v>0</v>
      </c>
      <c r="R62" s="1"/>
      <c r="S62" s="3">
        <f>SUM(C62:Q62)</f>
        <v>107152.85</v>
      </c>
      <c r="T62" s="2">
        <f>B62</f>
        <v>106500</v>
      </c>
      <c r="U62" s="3">
        <f t="shared" si="4"/>
        <v>-652.85000000000582</v>
      </c>
      <c r="V62" s="4">
        <f t="shared" si="5"/>
        <v>-6.1300469483568619E-3</v>
      </c>
    </row>
    <row r="63" spans="1:23" ht="15" x14ac:dyDescent="0.25">
      <c r="A63" s="62" t="s">
        <v>139</v>
      </c>
      <c r="B63" s="65"/>
      <c r="C63" s="65"/>
      <c r="D63" s="66"/>
      <c r="E63" s="66"/>
      <c r="F63" s="66"/>
      <c r="G63" s="66"/>
      <c r="H63" s="66"/>
      <c r="I63" s="66"/>
      <c r="J63" s="66"/>
      <c r="K63" s="66"/>
      <c r="L63" s="66"/>
      <c r="M63" s="66"/>
      <c r="N63" s="66"/>
      <c r="O63" s="66"/>
      <c r="P63" s="66"/>
      <c r="Q63" s="71"/>
      <c r="R63" s="1"/>
      <c r="S63" s="67"/>
      <c r="T63" s="66"/>
      <c r="U63" s="67"/>
      <c r="V63" s="68"/>
    </row>
    <row r="64" spans="1:23" x14ac:dyDescent="0.25">
      <c r="A64" s="40" t="s">
        <v>140</v>
      </c>
      <c r="B64" s="41">
        <f>749*3</f>
        <v>2247</v>
      </c>
      <c r="C64" s="2">
        <v>0</v>
      </c>
      <c r="D64" s="2">
        <v>0</v>
      </c>
      <c r="E64" s="2">
        <v>0</v>
      </c>
      <c r="F64" s="2">
        <v>0</v>
      </c>
      <c r="G64" s="2">
        <v>0</v>
      </c>
      <c r="H64" s="2">
        <v>0</v>
      </c>
      <c r="I64" s="2">
        <v>0</v>
      </c>
      <c r="J64" s="2">
        <v>0</v>
      </c>
      <c r="K64" s="2">
        <v>0</v>
      </c>
      <c r="L64" s="2">
        <v>0</v>
      </c>
      <c r="M64" s="2">
        <v>0</v>
      </c>
      <c r="N64" s="2">
        <v>0</v>
      </c>
      <c r="O64" s="2">
        <v>0</v>
      </c>
      <c r="P64" s="2">
        <v>0</v>
      </c>
      <c r="Q64" s="2">
        <v>0</v>
      </c>
      <c r="R64" s="1"/>
      <c r="S64" s="3">
        <f t="shared" ref="S64:S70" si="18">SUM(C64:Q64)</f>
        <v>0</v>
      </c>
      <c r="T64" s="2">
        <f t="shared" ref="T64:T70" si="19">B64</f>
        <v>2247</v>
      </c>
      <c r="U64" s="3">
        <f t="shared" si="4"/>
        <v>2247</v>
      </c>
      <c r="V64" s="4">
        <f t="shared" si="5"/>
        <v>1</v>
      </c>
    </row>
    <row r="65" spans="1:22" x14ac:dyDescent="0.25">
      <c r="A65" s="40" t="s">
        <v>14</v>
      </c>
      <c r="B65" s="41">
        <v>500</v>
      </c>
      <c r="C65" s="2">
        <v>0</v>
      </c>
      <c r="D65" s="2">
        <v>0</v>
      </c>
      <c r="E65" s="2">
        <v>0</v>
      </c>
      <c r="F65" s="2">
        <v>0</v>
      </c>
      <c r="G65" s="2">
        <v>0</v>
      </c>
      <c r="H65" s="2">
        <v>0</v>
      </c>
      <c r="I65" s="2">
        <v>0</v>
      </c>
      <c r="J65" s="2">
        <v>0</v>
      </c>
      <c r="K65" s="2">
        <v>0</v>
      </c>
      <c r="L65" s="2">
        <v>0</v>
      </c>
      <c r="M65" s="2">
        <v>0</v>
      </c>
      <c r="N65" s="2">
        <v>0</v>
      </c>
      <c r="O65" s="2">
        <v>0</v>
      </c>
      <c r="P65" s="2">
        <v>0</v>
      </c>
      <c r="Q65" s="2">
        <v>0</v>
      </c>
      <c r="R65" s="1"/>
      <c r="S65" s="3">
        <f t="shared" si="18"/>
        <v>0</v>
      </c>
      <c r="T65" s="2">
        <f t="shared" si="19"/>
        <v>500</v>
      </c>
      <c r="U65" s="3">
        <f t="shared" si="4"/>
        <v>500</v>
      </c>
      <c r="V65" s="4">
        <f t="shared" si="5"/>
        <v>1</v>
      </c>
    </row>
    <row r="66" spans="1:22" x14ac:dyDescent="0.25">
      <c r="A66" s="40" t="s">
        <v>141</v>
      </c>
      <c r="B66" s="41">
        <v>0</v>
      </c>
      <c r="C66" s="2">
        <v>0</v>
      </c>
      <c r="D66" s="2">
        <v>0</v>
      </c>
      <c r="E66" s="2">
        <v>0</v>
      </c>
      <c r="F66" s="2">
        <v>0</v>
      </c>
      <c r="G66" s="2">
        <v>0</v>
      </c>
      <c r="H66" s="2">
        <v>0</v>
      </c>
      <c r="I66" s="2">
        <v>0</v>
      </c>
      <c r="J66" s="2">
        <v>0</v>
      </c>
      <c r="K66" s="2">
        <v>0</v>
      </c>
      <c r="L66" s="2">
        <v>92.86</v>
      </c>
      <c r="M66" s="2">
        <v>0</v>
      </c>
      <c r="N66" s="2">
        <v>0</v>
      </c>
      <c r="O66" s="2">
        <v>0</v>
      </c>
      <c r="P66" s="2">
        <v>0</v>
      </c>
      <c r="Q66" s="2">
        <v>0</v>
      </c>
      <c r="R66" s="1"/>
      <c r="S66" s="3">
        <f t="shared" si="18"/>
        <v>92.86</v>
      </c>
      <c r="T66" s="2">
        <f t="shared" si="19"/>
        <v>0</v>
      </c>
      <c r="U66" s="3">
        <f t="shared" si="4"/>
        <v>-92.86</v>
      </c>
      <c r="V66" s="4">
        <f t="shared" si="5"/>
        <v>0</v>
      </c>
    </row>
    <row r="67" spans="1:22" x14ac:dyDescent="0.25">
      <c r="A67" s="40" t="s">
        <v>142</v>
      </c>
      <c r="B67" s="41">
        <v>0</v>
      </c>
      <c r="C67" s="2">
        <v>0</v>
      </c>
      <c r="D67" s="2">
        <v>0</v>
      </c>
      <c r="E67" s="2">
        <v>0</v>
      </c>
      <c r="F67" s="2">
        <v>0</v>
      </c>
      <c r="G67" s="2">
        <v>0</v>
      </c>
      <c r="H67" s="2">
        <v>0</v>
      </c>
      <c r="I67" s="2">
        <v>0</v>
      </c>
      <c r="J67" s="2">
        <v>0</v>
      </c>
      <c r="K67" s="2">
        <v>0</v>
      </c>
      <c r="L67" s="2">
        <v>0</v>
      </c>
      <c r="M67" s="2">
        <v>0</v>
      </c>
      <c r="N67" s="2">
        <f>1200.6+1200.6+560.06</f>
        <v>2961.2599999999998</v>
      </c>
      <c r="O67" s="2">
        <v>0</v>
      </c>
      <c r="P67" s="2">
        <v>0</v>
      </c>
      <c r="Q67" s="2">
        <v>0</v>
      </c>
      <c r="R67" s="1"/>
      <c r="S67" s="3">
        <f t="shared" si="18"/>
        <v>2961.2599999999998</v>
      </c>
      <c r="T67" s="2">
        <f t="shared" si="19"/>
        <v>0</v>
      </c>
      <c r="U67" s="3">
        <f t="shared" si="4"/>
        <v>-2961.2599999999998</v>
      </c>
      <c r="V67" s="4">
        <f t="shared" si="5"/>
        <v>0</v>
      </c>
    </row>
    <row r="68" spans="1:22" s="32" customFormat="1" x14ac:dyDescent="0.25">
      <c r="A68" s="40" t="s">
        <v>143</v>
      </c>
      <c r="B68" s="41">
        <v>2108.66</v>
      </c>
      <c r="C68" s="2">
        <v>0</v>
      </c>
      <c r="D68" s="2">
        <v>0</v>
      </c>
      <c r="E68" s="2">
        <v>0</v>
      </c>
      <c r="F68" s="2">
        <v>0</v>
      </c>
      <c r="G68" s="2">
        <v>0</v>
      </c>
      <c r="H68" s="2">
        <v>0</v>
      </c>
      <c r="I68" s="2">
        <v>0</v>
      </c>
      <c r="J68" s="2">
        <v>0</v>
      </c>
      <c r="K68" s="2">
        <v>0</v>
      </c>
      <c r="L68" s="2">
        <v>2108.66</v>
      </c>
      <c r="M68" s="2">
        <v>0</v>
      </c>
      <c r="N68" s="2">
        <v>0</v>
      </c>
      <c r="O68" s="2">
        <v>0</v>
      </c>
      <c r="P68" s="2">
        <v>0</v>
      </c>
      <c r="Q68" s="2">
        <v>0</v>
      </c>
      <c r="R68" s="1"/>
      <c r="S68" s="3">
        <f t="shared" si="18"/>
        <v>2108.66</v>
      </c>
      <c r="T68" s="2">
        <f t="shared" si="19"/>
        <v>2108.66</v>
      </c>
      <c r="U68" s="3">
        <f t="shared" si="4"/>
        <v>0</v>
      </c>
      <c r="V68" s="4">
        <f t="shared" si="5"/>
        <v>0</v>
      </c>
    </row>
    <row r="69" spans="1:22" x14ac:dyDescent="0.25">
      <c r="A69" s="40" t="s">
        <v>144</v>
      </c>
      <c r="B69" s="41">
        <v>2500</v>
      </c>
      <c r="C69" s="2">
        <v>0</v>
      </c>
      <c r="D69" s="2">
        <v>0</v>
      </c>
      <c r="E69" s="2">
        <v>0</v>
      </c>
      <c r="F69" s="2">
        <v>0</v>
      </c>
      <c r="G69" s="2">
        <v>0</v>
      </c>
      <c r="H69" s="2">
        <v>0</v>
      </c>
      <c r="I69" s="2">
        <v>0</v>
      </c>
      <c r="J69" s="2">
        <v>0</v>
      </c>
      <c r="K69" s="2">
        <v>0</v>
      </c>
      <c r="L69" s="2">
        <v>0</v>
      </c>
      <c r="M69" s="2">
        <v>0</v>
      </c>
      <c r="N69" s="2">
        <v>0</v>
      </c>
      <c r="O69" s="2">
        <v>0</v>
      </c>
      <c r="P69" s="2">
        <v>1802.28</v>
      </c>
      <c r="Q69" s="2">
        <v>0</v>
      </c>
      <c r="R69" s="1"/>
      <c r="S69" s="3">
        <f t="shared" si="18"/>
        <v>1802.28</v>
      </c>
      <c r="T69" s="2">
        <f t="shared" si="19"/>
        <v>2500</v>
      </c>
      <c r="U69" s="3">
        <f t="shared" si="4"/>
        <v>697.72</v>
      </c>
      <c r="V69" s="4">
        <f t="shared" si="5"/>
        <v>0.279088</v>
      </c>
    </row>
    <row r="70" spans="1:22" x14ac:dyDescent="0.25">
      <c r="A70" s="40" t="s">
        <v>145</v>
      </c>
      <c r="B70" s="41">
        <v>2303.0100000000002</v>
      </c>
      <c r="C70" s="61">
        <v>0</v>
      </c>
      <c r="D70" s="2">
        <v>0</v>
      </c>
      <c r="E70" s="2">
        <v>0</v>
      </c>
      <c r="F70" s="2">
        <v>0</v>
      </c>
      <c r="G70" s="2">
        <v>0</v>
      </c>
      <c r="H70" s="2">
        <v>0</v>
      </c>
      <c r="I70" s="2">
        <v>0</v>
      </c>
      <c r="J70" s="2">
        <v>0</v>
      </c>
      <c r="K70" s="2">
        <v>0</v>
      </c>
      <c r="L70" s="2">
        <f>6.74+2303.01</f>
        <v>2309.75</v>
      </c>
      <c r="M70" s="2">
        <v>0</v>
      </c>
      <c r="N70" s="2">
        <v>0</v>
      </c>
      <c r="O70" s="2">
        <v>0</v>
      </c>
      <c r="P70" s="2">
        <v>0</v>
      </c>
      <c r="Q70" s="61">
        <v>0</v>
      </c>
      <c r="R70" s="1"/>
      <c r="S70" s="3">
        <f t="shared" si="18"/>
        <v>2309.75</v>
      </c>
      <c r="T70" s="2">
        <f t="shared" si="19"/>
        <v>2303.0100000000002</v>
      </c>
      <c r="U70" s="3">
        <f>T70-S70</f>
        <v>-6.7399999999997817</v>
      </c>
      <c r="V70" s="4">
        <f>IFERROR(U70/T70,0)</f>
        <v>-2.9266047476996545E-3</v>
      </c>
    </row>
    <row r="71" spans="1:22" ht="15" x14ac:dyDescent="0.25">
      <c r="A71" s="62" t="s">
        <v>146</v>
      </c>
      <c r="B71" s="65"/>
      <c r="C71" s="65"/>
      <c r="D71" s="66"/>
      <c r="E71" s="66"/>
      <c r="F71" s="66"/>
      <c r="G71" s="66"/>
      <c r="H71" s="66"/>
      <c r="I71" s="66"/>
      <c r="J71" s="66"/>
      <c r="K71" s="66"/>
      <c r="L71" s="66"/>
      <c r="M71" s="66"/>
      <c r="N71" s="66"/>
      <c r="O71" s="66"/>
      <c r="P71" s="66"/>
      <c r="Q71" s="71"/>
      <c r="R71" s="1"/>
      <c r="S71" s="67"/>
      <c r="T71" s="66"/>
      <c r="U71" s="67"/>
      <c r="V71" s="68"/>
    </row>
    <row r="72" spans="1:22" s="32" customFormat="1" x14ac:dyDescent="0.25">
      <c r="A72" s="40" t="s">
        <v>147</v>
      </c>
      <c r="B72" s="41">
        <v>1000</v>
      </c>
      <c r="C72" s="2">
        <v>0</v>
      </c>
      <c r="D72" s="2">
        <v>0</v>
      </c>
      <c r="E72" s="2">
        <v>0</v>
      </c>
      <c r="F72" s="2">
        <v>0</v>
      </c>
      <c r="G72" s="2">
        <v>0</v>
      </c>
      <c r="H72" s="2">
        <v>0</v>
      </c>
      <c r="I72" s="2">
        <v>0</v>
      </c>
      <c r="J72" s="2">
        <v>0</v>
      </c>
      <c r="K72" s="2">
        <v>1000</v>
      </c>
      <c r="L72" s="2">
        <v>0</v>
      </c>
      <c r="M72" s="2">
        <v>0</v>
      </c>
      <c r="N72" s="2">
        <v>0</v>
      </c>
      <c r="O72" s="2">
        <v>2000</v>
      </c>
      <c r="P72" s="2">
        <v>0</v>
      </c>
      <c r="Q72" s="2">
        <v>0</v>
      </c>
      <c r="R72" s="1"/>
      <c r="S72" s="3">
        <f>SUM(C72:Q72)</f>
        <v>3000</v>
      </c>
      <c r="T72" s="2">
        <f>B72</f>
        <v>1000</v>
      </c>
      <c r="U72" s="3">
        <f t="shared" si="4"/>
        <v>-2000</v>
      </c>
      <c r="V72" s="4">
        <f t="shared" si="5"/>
        <v>-2</v>
      </c>
    </row>
    <row r="73" spans="1:22" s="32" customFormat="1" x14ac:dyDescent="0.25">
      <c r="A73" s="40" t="s">
        <v>148</v>
      </c>
      <c r="B73" s="41">
        <v>0</v>
      </c>
      <c r="C73" s="2">
        <v>0</v>
      </c>
      <c r="D73" s="2">
        <v>0</v>
      </c>
      <c r="E73" s="2">
        <v>0</v>
      </c>
      <c r="F73" s="2">
        <v>0</v>
      </c>
      <c r="G73" s="2">
        <v>0</v>
      </c>
      <c r="H73" s="2">
        <v>0</v>
      </c>
      <c r="I73" s="2">
        <v>0</v>
      </c>
      <c r="J73" s="2">
        <v>0</v>
      </c>
      <c r="K73" s="2">
        <v>0</v>
      </c>
      <c r="L73" s="2">
        <v>0</v>
      </c>
      <c r="M73" s="2">
        <v>0</v>
      </c>
      <c r="N73" s="2">
        <v>0</v>
      </c>
      <c r="O73" s="2">
        <v>0</v>
      </c>
      <c r="P73" s="2">
        <v>420</v>
      </c>
      <c r="Q73" s="2">
        <v>0</v>
      </c>
      <c r="R73" s="1"/>
      <c r="S73" s="3">
        <f>SUM(C73:Q73)</f>
        <v>420</v>
      </c>
      <c r="T73" s="2">
        <f>B73</f>
        <v>0</v>
      </c>
      <c r="U73" s="3">
        <f t="shared" si="4"/>
        <v>-420</v>
      </c>
      <c r="V73" s="4">
        <f t="shared" si="5"/>
        <v>0</v>
      </c>
    </row>
    <row r="74" spans="1:22" s="32" customFormat="1" x14ac:dyDescent="0.25">
      <c r="A74" s="40" t="s">
        <v>149</v>
      </c>
      <c r="B74" s="41">
        <v>15500</v>
      </c>
      <c r="C74" s="2">
        <v>0</v>
      </c>
      <c r="D74" s="2">
        <v>0</v>
      </c>
      <c r="E74" s="2">
        <v>0</v>
      </c>
      <c r="F74" s="2">
        <v>0</v>
      </c>
      <c r="G74" s="2">
        <v>0</v>
      </c>
      <c r="H74" s="2">
        <v>0</v>
      </c>
      <c r="I74" s="2">
        <v>0</v>
      </c>
      <c r="J74" s="2">
        <v>0</v>
      </c>
      <c r="K74" s="2">
        <v>0</v>
      </c>
      <c r="L74" s="2">
        <v>0</v>
      </c>
      <c r="M74" s="2">
        <v>0</v>
      </c>
      <c r="N74" s="2">
        <v>0</v>
      </c>
      <c r="O74" s="2">
        <v>0</v>
      </c>
      <c r="P74" s="2">
        <v>17724.88</v>
      </c>
      <c r="Q74" s="2">
        <v>0</v>
      </c>
      <c r="R74" s="1"/>
      <c r="S74" s="3">
        <f>SUM(C74:Q74)</f>
        <v>17724.88</v>
      </c>
      <c r="T74" s="2">
        <f>B74</f>
        <v>15500</v>
      </c>
      <c r="U74" s="3">
        <f t="shared" ref="U74" si="20">T74-S74</f>
        <v>-2224.880000000001</v>
      </c>
      <c r="V74" s="4">
        <f t="shared" ref="V74" si="21">IFERROR(U74/T74,0)</f>
        <v>-0.14354064516129039</v>
      </c>
    </row>
    <row r="75" spans="1:22" ht="15" x14ac:dyDescent="0.25">
      <c r="A75" s="62" t="s">
        <v>150</v>
      </c>
      <c r="B75" s="65"/>
      <c r="C75" s="65"/>
      <c r="D75" s="66"/>
      <c r="E75" s="66"/>
      <c r="F75" s="66"/>
      <c r="G75" s="66"/>
      <c r="H75" s="66"/>
      <c r="I75" s="66"/>
      <c r="J75" s="66"/>
      <c r="K75" s="66"/>
      <c r="L75" s="66"/>
      <c r="M75" s="66"/>
      <c r="N75" s="66"/>
      <c r="O75" s="66"/>
      <c r="P75" s="66"/>
      <c r="Q75" s="71"/>
      <c r="R75" s="1"/>
      <c r="S75" s="67"/>
      <c r="T75" s="66"/>
      <c r="U75" s="67"/>
      <c r="V75" s="68"/>
    </row>
    <row r="76" spans="1:22" x14ac:dyDescent="0.25">
      <c r="A76" s="40" t="s">
        <v>151</v>
      </c>
      <c r="B76" s="41">
        <v>700</v>
      </c>
      <c r="C76" s="41">
        <v>0</v>
      </c>
      <c r="D76" s="2">
        <v>0</v>
      </c>
      <c r="E76" s="2">
        <v>0</v>
      </c>
      <c r="F76" s="2">
        <v>0</v>
      </c>
      <c r="G76" s="2">
        <v>0</v>
      </c>
      <c r="H76" s="2">
        <v>0</v>
      </c>
      <c r="I76" s="2">
        <v>0</v>
      </c>
      <c r="J76" s="2">
        <v>0</v>
      </c>
      <c r="K76" s="2">
        <v>1050</v>
      </c>
      <c r="L76" s="2">
        <v>0</v>
      </c>
      <c r="M76" s="2">
        <v>0</v>
      </c>
      <c r="N76" s="2">
        <v>0</v>
      </c>
      <c r="O76" s="2">
        <v>0</v>
      </c>
      <c r="P76" s="2">
        <v>0</v>
      </c>
      <c r="Q76" s="2">
        <v>0</v>
      </c>
      <c r="R76" s="1"/>
      <c r="S76" s="3">
        <f>SUM(C76:Q76)</f>
        <v>1050</v>
      </c>
      <c r="T76" s="2">
        <f>B76</f>
        <v>700</v>
      </c>
      <c r="U76" s="3">
        <f t="shared" si="4"/>
        <v>-350</v>
      </c>
      <c r="V76" s="4">
        <f t="shared" si="5"/>
        <v>-0.5</v>
      </c>
    </row>
    <row r="77" spans="1:22" ht="15" x14ac:dyDescent="0.25">
      <c r="A77" s="62" t="s">
        <v>152</v>
      </c>
      <c r="B77" s="65"/>
      <c r="C77" s="65"/>
      <c r="D77" s="66"/>
      <c r="E77" s="66"/>
      <c r="F77" s="66"/>
      <c r="G77" s="66"/>
      <c r="H77" s="66"/>
      <c r="I77" s="66"/>
      <c r="J77" s="66"/>
      <c r="K77" s="66"/>
      <c r="L77" s="66"/>
      <c r="M77" s="66"/>
      <c r="N77" s="66"/>
      <c r="O77" s="66"/>
      <c r="P77" s="66"/>
      <c r="Q77" s="71"/>
      <c r="R77" s="1"/>
      <c r="S77" s="67"/>
      <c r="T77" s="66"/>
      <c r="U77" s="67"/>
      <c r="V77" s="68"/>
    </row>
    <row r="78" spans="1:22" x14ac:dyDescent="0.25">
      <c r="A78" s="40" t="s">
        <v>153</v>
      </c>
      <c r="B78" s="41">
        <v>5000</v>
      </c>
      <c r="C78" s="41">
        <v>0</v>
      </c>
      <c r="D78" s="2">
        <v>0</v>
      </c>
      <c r="E78" s="2">
        <v>0</v>
      </c>
      <c r="F78" s="2">
        <v>0</v>
      </c>
      <c r="G78" s="2">
        <v>0</v>
      </c>
      <c r="H78" s="2">
        <v>0</v>
      </c>
      <c r="I78" s="2">
        <v>0</v>
      </c>
      <c r="J78" s="2">
        <v>0</v>
      </c>
      <c r="K78" s="2">
        <v>0</v>
      </c>
      <c r="L78" s="2">
        <v>12111.6</v>
      </c>
      <c r="M78" s="2">
        <v>0</v>
      </c>
      <c r="N78" s="2">
        <v>0</v>
      </c>
      <c r="O78" s="2">
        <v>0</v>
      </c>
      <c r="P78" s="2">
        <v>0</v>
      </c>
      <c r="Q78" s="2">
        <v>0</v>
      </c>
      <c r="R78" s="1"/>
      <c r="S78" s="3">
        <f>SUM(C78:Q78)</f>
        <v>12111.6</v>
      </c>
      <c r="T78" s="2">
        <f>B78</f>
        <v>5000</v>
      </c>
      <c r="U78" s="3">
        <f t="shared" si="4"/>
        <v>-7111.6</v>
      </c>
      <c r="V78" s="4">
        <f t="shared" si="5"/>
        <v>-1.42232</v>
      </c>
    </row>
    <row r="79" spans="1:22" x14ac:dyDescent="0.25">
      <c r="A79" s="40" t="s">
        <v>154</v>
      </c>
      <c r="B79" s="41">
        <v>10000</v>
      </c>
      <c r="C79" s="41">
        <v>0</v>
      </c>
      <c r="D79" s="2">
        <v>0</v>
      </c>
      <c r="E79" s="2">
        <v>0</v>
      </c>
      <c r="F79" s="2">
        <v>0</v>
      </c>
      <c r="G79" s="2">
        <v>0</v>
      </c>
      <c r="H79" s="2">
        <v>0</v>
      </c>
      <c r="I79" s="2">
        <v>0</v>
      </c>
      <c r="J79" s="2">
        <v>0</v>
      </c>
      <c r="K79" s="2">
        <v>0</v>
      </c>
      <c r="L79" s="2">
        <v>4658.67</v>
      </c>
      <c r="M79" s="2">
        <v>0</v>
      </c>
      <c r="N79" s="2">
        <v>0</v>
      </c>
      <c r="O79" s="2">
        <v>0</v>
      </c>
      <c r="P79" s="2">
        <v>0</v>
      </c>
      <c r="Q79" s="2">
        <v>0</v>
      </c>
      <c r="R79" s="1"/>
      <c r="S79" s="3">
        <f>SUM(C79:Q79)</f>
        <v>4658.67</v>
      </c>
      <c r="T79" s="2">
        <f>B79</f>
        <v>10000</v>
      </c>
      <c r="U79" s="3">
        <f t="shared" si="4"/>
        <v>5341.33</v>
      </c>
      <c r="V79" s="4">
        <f t="shared" si="5"/>
        <v>0.53413299999999997</v>
      </c>
    </row>
    <row r="80" spans="1:22" x14ac:dyDescent="0.25">
      <c r="A80" s="40" t="s">
        <v>14</v>
      </c>
      <c r="B80" s="41">
        <v>0</v>
      </c>
      <c r="C80" s="41">
        <v>0</v>
      </c>
      <c r="D80" s="2">
        <v>0</v>
      </c>
      <c r="E80" s="2">
        <v>0</v>
      </c>
      <c r="F80" s="2">
        <v>0</v>
      </c>
      <c r="G80" s="2">
        <v>0</v>
      </c>
      <c r="H80" s="2">
        <v>0</v>
      </c>
      <c r="I80" s="2">
        <v>0</v>
      </c>
      <c r="J80" s="2">
        <v>0</v>
      </c>
      <c r="K80" s="2">
        <v>0</v>
      </c>
      <c r="L80" s="2">
        <v>0</v>
      </c>
      <c r="M80" s="2">
        <v>0</v>
      </c>
      <c r="N80" s="2">
        <v>0</v>
      </c>
      <c r="O80" s="2">
        <v>0</v>
      </c>
      <c r="P80" s="2">
        <v>100</v>
      </c>
      <c r="Q80" s="2">
        <v>0</v>
      </c>
      <c r="R80" s="1"/>
      <c r="S80" s="3">
        <f t="shared" ref="S80:S81" si="22">SUM(C80:Q80)</f>
        <v>100</v>
      </c>
      <c r="T80" s="2">
        <f t="shared" ref="T80:T81" si="23">B80</f>
        <v>0</v>
      </c>
      <c r="U80" s="3">
        <f t="shared" ref="U80:U81" si="24">T80-S80</f>
        <v>-100</v>
      </c>
      <c r="V80" s="4">
        <f t="shared" ref="V80:V81" si="25">IFERROR(U80/T80,0)</f>
        <v>0</v>
      </c>
    </row>
    <row r="81" spans="1:22" x14ac:dyDescent="0.25">
      <c r="A81" s="40" t="s">
        <v>155</v>
      </c>
      <c r="B81" s="41">
        <v>0</v>
      </c>
      <c r="C81" s="41">
        <v>0</v>
      </c>
      <c r="D81" s="2">
        <v>0</v>
      </c>
      <c r="E81" s="2">
        <v>0</v>
      </c>
      <c r="F81" s="2">
        <v>0</v>
      </c>
      <c r="G81" s="2">
        <v>0</v>
      </c>
      <c r="H81" s="2">
        <v>0</v>
      </c>
      <c r="I81" s="2">
        <v>0</v>
      </c>
      <c r="J81" s="2">
        <v>0</v>
      </c>
      <c r="K81" s="2">
        <v>0</v>
      </c>
      <c r="L81" s="2">
        <v>0</v>
      </c>
      <c r="M81" s="2">
        <v>0</v>
      </c>
      <c r="N81" s="2">
        <v>0</v>
      </c>
      <c r="O81" s="2">
        <v>0</v>
      </c>
      <c r="P81" s="2">
        <v>100</v>
      </c>
      <c r="Q81" s="2">
        <v>0</v>
      </c>
      <c r="R81" s="1"/>
      <c r="S81" s="3">
        <f t="shared" si="22"/>
        <v>100</v>
      </c>
      <c r="T81" s="2">
        <f t="shared" si="23"/>
        <v>0</v>
      </c>
      <c r="U81" s="3">
        <f t="shared" si="24"/>
        <v>-100</v>
      </c>
      <c r="V81" s="4">
        <f t="shared" si="25"/>
        <v>0</v>
      </c>
    </row>
    <row r="82" spans="1:22" ht="15" x14ac:dyDescent="0.25">
      <c r="A82" s="62" t="s">
        <v>156</v>
      </c>
      <c r="B82" s="69"/>
      <c r="C82" s="69"/>
      <c r="D82" s="66"/>
      <c r="E82" s="66"/>
      <c r="F82" s="66"/>
      <c r="G82" s="66"/>
      <c r="H82" s="66"/>
      <c r="I82" s="66"/>
      <c r="J82" s="66"/>
      <c r="K82" s="66"/>
      <c r="L82" s="66"/>
      <c r="M82" s="66"/>
      <c r="N82" s="66"/>
      <c r="O82" s="66"/>
      <c r="P82" s="66"/>
      <c r="Q82" s="71"/>
      <c r="R82" s="1"/>
      <c r="S82" s="67"/>
      <c r="T82" s="66"/>
      <c r="U82" s="67"/>
      <c r="V82" s="68"/>
    </row>
    <row r="83" spans="1:22" x14ac:dyDescent="0.25">
      <c r="A83" s="40" t="s">
        <v>157</v>
      </c>
      <c r="B83" s="41">
        <v>0</v>
      </c>
      <c r="C83" s="2">
        <v>0</v>
      </c>
      <c r="D83" s="2">
        <v>0</v>
      </c>
      <c r="E83" s="2">
        <v>0</v>
      </c>
      <c r="F83" s="2">
        <v>0</v>
      </c>
      <c r="G83" s="2">
        <v>0</v>
      </c>
      <c r="H83" s="2">
        <v>0</v>
      </c>
      <c r="I83" s="2">
        <v>0</v>
      </c>
      <c r="J83" s="2">
        <v>0</v>
      </c>
      <c r="K83" s="2">
        <v>0</v>
      </c>
      <c r="L83" s="2">
        <v>0</v>
      </c>
      <c r="M83" s="2">
        <v>0</v>
      </c>
      <c r="N83" s="2">
        <v>0</v>
      </c>
      <c r="O83" s="2">
        <v>0</v>
      </c>
      <c r="P83" s="2">
        <v>0</v>
      </c>
      <c r="Q83" s="2">
        <v>0</v>
      </c>
      <c r="R83" s="1"/>
      <c r="S83" s="3">
        <f>SUM(C83:Q83)</f>
        <v>0</v>
      </c>
      <c r="T83" s="2">
        <f>B83</f>
        <v>0</v>
      </c>
      <c r="U83" s="3">
        <f>T83-S83</f>
        <v>0</v>
      </c>
      <c r="V83" s="4">
        <f>IFERROR(U83/T83,0)</f>
        <v>0</v>
      </c>
    </row>
    <row r="84" spans="1:22" x14ac:dyDescent="0.25">
      <c r="A84" s="40"/>
      <c r="B84" s="41"/>
      <c r="C84" s="41"/>
    </row>
    <row r="85" spans="1:22" ht="15" x14ac:dyDescent="0.25">
      <c r="A85" s="47" t="s">
        <v>158</v>
      </c>
      <c r="B85" s="44">
        <f>SUM(B2:B84)</f>
        <v>626451.54000000015</v>
      </c>
      <c r="C85" s="44">
        <f t="shared" ref="C85:Q85" si="26">SUM(C2:C84)</f>
        <v>891.51</v>
      </c>
      <c r="D85" s="44">
        <f t="shared" si="26"/>
        <v>0.81</v>
      </c>
      <c r="E85" s="44">
        <f t="shared" si="26"/>
        <v>7664.86</v>
      </c>
      <c r="F85" s="44">
        <f t="shared" si="26"/>
        <v>4266</v>
      </c>
      <c r="G85" s="44">
        <f t="shared" si="26"/>
        <v>11213.880000000001</v>
      </c>
      <c r="H85" s="44">
        <f t="shared" si="26"/>
        <v>160.13</v>
      </c>
      <c r="I85" s="44">
        <f t="shared" si="26"/>
        <v>19416</v>
      </c>
      <c r="J85" s="44">
        <f t="shared" si="26"/>
        <v>5109.3</v>
      </c>
      <c r="K85" s="44">
        <f t="shared" si="26"/>
        <v>6569.67</v>
      </c>
      <c r="L85" s="44">
        <f t="shared" si="26"/>
        <v>34499.42</v>
      </c>
      <c r="M85" s="44">
        <f t="shared" si="26"/>
        <v>2118.9</v>
      </c>
      <c r="N85" s="44">
        <f t="shared" si="26"/>
        <v>19610.98</v>
      </c>
      <c r="O85" s="44">
        <f t="shared" si="26"/>
        <v>4769.16</v>
      </c>
      <c r="P85" s="44">
        <f t="shared" si="26"/>
        <v>459663.9800000001</v>
      </c>
      <c r="Q85" s="44">
        <f t="shared" si="26"/>
        <v>25158.95</v>
      </c>
      <c r="R85" s="35"/>
      <c r="S85" s="35">
        <f>SUM(S3:S84)</f>
        <v>601113.55000000005</v>
      </c>
      <c r="T85" s="35">
        <f>SUM(T3:T84)</f>
        <v>626451.54000000015</v>
      </c>
      <c r="U85" s="35">
        <f>SUM(U3:U84)</f>
        <v>25337.989999999998</v>
      </c>
      <c r="V85" s="70">
        <f>AVERAGEA(V3:V79)</f>
        <v>0.12578507926494553</v>
      </c>
    </row>
    <row r="86" spans="1:22" ht="15" x14ac:dyDescent="0.25">
      <c r="A86" s="47" t="s">
        <v>159</v>
      </c>
      <c r="B86" s="44"/>
      <c r="C86" s="44"/>
    </row>
    <row r="87" spans="1:22" ht="15" x14ac:dyDescent="0.25">
      <c r="A87" s="42">
        <v>8.5000000000000006E-2</v>
      </c>
      <c r="B87" s="44">
        <f>(B85*A87)-B83</f>
        <v>53248.380900000018</v>
      </c>
      <c r="C87" s="41"/>
      <c r="P87" s="86"/>
    </row>
    <row r="88" spans="1:22" s="31" customFormat="1" ht="15" x14ac:dyDescent="0.25">
      <c r="A88" s="47" t="s">
        <v>160</v>
      </c>
      <c r="B88" s="48">
        <f>SUM(B85:B87)</f>
        <v>679699.92090000014</v>
      </c>
      <c r="C88" s="48"/>
    </row>
    <row r="89" spans="1:22" ht="15" x14ac:dyDescent="0.25">
      <c r="A89" s="50" t="s">
        <v>161</v>
      </c>
      <c r="B89" s="59">
        <f>B119</f>
        <v>905556</v>
      </c>
      <c r="C89" s="51"/>
      <c r="P89" s="86"/>
    </row>
    <row r="90" spans="1:22" ht="15" x14ac:dyDescent="0.25">
      <c r="A90" s="33" t="s">
        <v>80</v>
      </c>
      <c r="B90" s="94">
        <f>B89-B88</f>
        <v>225856.07909999986</v>
      </c>
      <c r="C90" s="60"/>
    </row>
    <row r="91" spans="1:22" x14ac:dyDescent="0.25">
      <c r="A91" s="33"/>
      <c r="B91" s="36"/>
      <c r="C91" s="36"/>
    </row>
    <row r="92" spans="1:22" x14ac:dyDescent="0.25">
      <c r="A92" s="33"/>
      <c r="B92" s="36"/>
      <c r="C92" s="36"/>
    </row>
    <row r="93" spans="1:22" ht="15" x14ac:dyDescent="0.25">
      <c r="A93" s="53" t="s">
        <v>162</v>
      </c>
      <c r="B93" s="54" t="s">
        <v>82</v>
      </c>
      <c r="C93" s="54"/>
      <c r="H93" s="86"/>
    </row>
    <row r="94" spans="1:22" ht="15" x14ac:dyDescent="0.25">
      <c r="A94" s="50" t="s">
        <v>163</v>
      </c>
      <c r="B94" s="51"/>
      <c r="C94" s="34">
        <v>950</v>
      </c>
      <c r="D94" s="34" t="s">
        <v>164</v>
      </c>
      <c r="H94" s="84">
        <v>925</v>
      </c>
      <c r="I94" s="34" t="str">
        <f t="shared" ref="H94:I97" si="27">D94</f>
        <v>Maximum number of attendees</v>
      </c>
    </row>
    <row r="95" spans="1:22" x14ac:dyDescent="0.25">
      <c r="A95" s="34" t="s">
        <v>165</v>
      </c>
      <c r="B95" s="35">
        <f>749*C95</f>
        <v>316078</v>
      </c>
      <c r="C95" s="80">
        <v>422</v>
      </c>
      <c r="D95" s="34" t="s">
        <v>166</v>
      </c>
      <c r="E95" s="80"/>
      <c r="H95" s="84">
        <f t="shared" si="27"/>
        <v>422</v>
      </c>
      <c r="I95" s="34" t="str">
        <f t="shared" si="27"/>
        <v>Early Bird Attendees</v>
      </c>
    </row>
    <row r="96" spans="1:22" x14ac:dyDescent="0.25">
      <c r="A96" s="34" t="s">
        <v>167</v>
      </c>
      <c r="B96" s="35">
        <f>849*C96</f>
        <v>184233</v>
      </c>
      <c r="C96" s="80">
        <v>217</v>
      </c>
      <c r="D96" s="34" t="s">
        <v>168</v>
      </c>
      <c r="E96" s="80"/>
      <c r="H96" s="84">
        <f t="shared" si="27"/>
        <v>217</v>
      </c>
      <c r="I96" s="34" t="str">
        <f t="shared" si="27"/>
        <v xml:space="preserve">Regular Attendees </v>
      </c>
    </row>
    <row r="97" spans="1:17" x14ac:dyDescent="0.25">
      <c r="A97" s="34" t="s">
        <v>169</v>
      </c>
      <c r="B97" s="35">
        <f>C97*749</f>
        <v>27713</v>
      </c>
      <c r="C97" s="80">
        <v>37</v>
      </c>
      <c r="D97" s="34" t="s">
        <v>170</v>
      </c>
      <c r="E97" s="80"/>
      <c r="H97" s="84">
        <f t="shared" si="27"/>
        <v>37</v>
      </c>
      <c r="I97" s="34" t="str">
        <f t="shared" si="27"/>
        <v xml:space="preserve">Attending Presenters </v>
      </c>
    </row>
    <row r="98" spans="1:17" x14ac:dyDescent="0.25">
      <c r="A98" s="34" t="s">
        <v>171</v>
      </c>
      <c r="B98" s="35">
        <v>0</v>
      </c>
      <c r="C98" s="80">
        <v>147</v>
      </c>
      <c r="H98" s="88">
        <f>C98</f>
        <v>147</v>
      </c>
      <c r="I98" s="34" t="str">
        <f>A98</f>
        <v>SAP Providers</v>
      </c>
      <c r="J98" s="84"/>
    </row>
    <row r="99" spans="1:17" x14ac:dyDescent="0.25">
      <c r="A99" s="34" t="s">
        <v>172</v>
      </c>
      <c r="B99" s="35">
        <f>149*C99</f>
        <v>21605</v>
      </c>
      <c r="C99" s="80">
        <v>145</v>
      </c>
      <c r="H99" s="84">
        <f>H94-H95-H96-H97-H98</f>
        <v>102</v>
      </c>
      <c r="I99" s="34" t="s">
        <v>173</v>
      </c>
      <c r="J99" s="84"/>
    </row>
    <row r="100" spans="1:17" x14ac:dyDescent="0.25">
      <c r="A100" s="32"/>
      <c r="B100" s="39"/>
      <c r="C100" s="81"/>
    </row>
    <row r="101" spans="1:17" ht="15" x14ac:dyDescent="0.25">
      <c r="A101" s="50" t="s">
        <v>174</v>
      </c>
      <c r="D101" s="80"/>
      <c r="E101" s="80"/>
      <c r="H101" s="82">
        <f>H99</f>
        <v>102</v>
      </c>
      <c r="I101" s="34" t="str">
        <f>I99</f>
        <v>Available Registration Seats</v>
      </c>
      <c r="J101" s="84"/>
    </row>
    <row r="102" spans="1:17" x14ac:dyDescent="0.25">
      <c r="A102" s="34" t="s">
        <v>175</v>
      </c>
      <c r="B102" s="35">
        <v>15000</v>
      </c>
      <c r="D102" s="80"/>
      <c r="E102" s="80"/>
      <c r="H102" s="89">
        <v>849</v>
      </c>
      <c r="I102" s="34" t="s">
        <v>176</v>
      </c>
      <c r="J102" s="84"/>
    </row>
    <row r="103" spans="1:17" ht="14.1" customHeight="1" x14ac:dyDescent="0.25">
      <c r="A103" s="33" t="s">
        <v>177</v>
      </c>
      <c r="B103" s="36">
        <v>9500</v>
      </c>
      <c r="D103" s="80"/>
      <c r="E103" s="80"/>
      <c r="H103" s="35">
        <f>H101*H102</f>
        <v>86598</v>
      </c>
      <c r="J103" s="84"/>
      <c r="P103" s="211">
        <f>B90+H105</f>
        <v>334059.07909999986</v>
      </c>
      <c r="Q103" s="211"/>
    </row>
    <row r="104" spans="1:17" x14ac:dyDescent="0.25">
      <c r="A104" s="34" t="s">
        <v>178</v>
      </c>
      <c r="B104" s="35">
        <v>20000</v>
      </c>
      <c r="H104" s="90">
        <f>B99</f>
        <v>21605</v>
      </c>
      <c r="I104" s="34" t="s">
        <v>179</v>
      </c>
      <c r="J104" s="84"/>
    </row>
    <row r="105" spans="1:17" x14ac:dyDescent="0.25">
      <c r="A105" s="34" t="s">
        <v>180</v>
      </c>
      <c r="B105" s="35">
        <v>3500</v>
      </c>
      <c r="H105" s="35">
        <f>SUM(H103:H104)</f>
        <v>108203</v>
      </c>
      <c r="I105" s="34" t="s">
        <v>181</v>
      </c>
      <c r="J105" s="84"/>
      <c r="K105" s="84"/>
    </row>
    <row r="106" spans="1:17" x14ac:dyDescent="0.25">
      <c r="A106" s="34" t="s">
        <v>182</v>
      </c>
      <c r="B106" s="35">
        <v>5000</v>
      </c>
      <c r="H106" s="35"/>
    </row>
    <row r="107" spans="1:17" x14ac:dyDescent="0.25">
      <c r="A107" s="34" t="s">
        <v>183</v>
      </c>
      <c r="B107" s="35">
        <v>10000</v>
      </c>
      <c r="H107" s="35"/>
      <c r="J107" s="84"/>
    </row>
    <row r="108" spans="1:17" x14ac:dyDescent="0.25">
      <c r="A108" s="34" t="s">
        <v>184</v>
      </c>
      <c r="B108" s="35">
        <v>150000</v>
      </c>
      <c r="H108" s="35"/>
      <c r="J108" s="84"/>
    </row>
    <row r="109" spans="1:17" x14ac:dyDescent="0.25">
      <c r="A109" s="34" t="s">
        <v>185</v>
      </c>
      <c r="B109" s="35">
        <v>15000</v>
      </c>
      <c r="H109" s="35">
        <f>B88</f>
        <v>679699.92090000014</v>
      </c>
      <c r="I109" s="34" t="s">
        <v>186</v>
      </c>
      <c r="J109" s="84"/>
      <c r="K109" s="35"/>
    </row>
    <row r="110" spans="1:17" x14ac:dyDescent="0.25">
      <c r="A110" s="34" t="s">
        <v>187</v>
      </c>
      <c r="B110" s="35">
        <v>15000</v>
      </c>
      <c r="H110" s="35">
        <f>B117</f>
        <v>355927</v>
      </c>
      <c r="I110" s="34" t="s">
        <v>188</v>
      </c>
      <c r="J110" s="84"/>
      <c r="K110" s="35"/>
    </row>
    <row r="111" spans="1:17" x14ac:dyDescent="0.25">
      <c r="A111" s="34" t="s">
        <v>189</v>
      </c>
      <c r="B111" s="35">
        <v>700</v>
      </c>
      <c r="G111" s="34">
        <v>422</v>
      </c>
      <c r="H111" s="90">
        <f>B95</f>
        <v>316078</v>
      </c>
      <c r="I111" s="34" t="s">
        <v>190</v>
      </c>
      <c r="K111" s="35"/>
    </row>
    <row r="112" spans="1:17" x14ac:dyDescent="0.25">
      <c r="A112" s="34" t="s">
        <v>191</v>
      </c>
      <c r="B112" s="35">
        <v>500</v>
      </c>
      <c r="H112" s="35">
        <f>H109-H110-H111</f>
        <v>7694.9209000001429</v>
      </c>
      <c r="I112" s="34" t="s">
        <v>192</v>
      </c>
      <c r="K112" s="35"/>
    </row>
    <row r="113" spans="1:9" x14ac:dyDescent="0.25">
      <c r="A113" s="34" t="s">
        <v>193</v>
      </c>
      <c r="B113" s="35">
        <v>35081</v>
      </c>
    </row>
    <row r="114" spans="1:9" x14ac:dyDescent="0.25">
      <c r="A114" s="34" t="s">
        <v>194</v>
      </c>
      <c r="B114" s="35">
        <v>36444</v>
      </c>
      <c r="G114" s="34">
        <v>75</v>
      </c>
      <c r="H114" s="87">
        <f>I114*G114</f>
        <v>63675</v>
      </c>
      <c r="I114" s="34">
        <v>849</v>
      </c>
    </row>
    <row r="115" spans="1:9" x14ac:dyDescent="0.25">
      <c r="A115" s="34" t="s">
        <v>195</v>
      </c>
      <c r="B115" s="35">
        <v>32702</v>
      </c>
      <c r="H115" s="35"/>
    </row>
    <row r="116" spans="1:9" x14ac:dyDescent="0.25">
      <c r="A116" s="34" t="s">
        <v>196</v>
      </c>
      <c r="B116" s="35">
        <v>7500</v>
      </c>
      <c r="C116" s="36"/>
      <c r="E116" s="92"/>
      <c r="F116" s="91" t="s">
        <v>197</v>
      </c>
      <c r="G116" s="92">
        <f>SUM(G111:G114)</f>
        <v>497</v>
      </c>
      <c r="H116" s="93">
        <f>H112-H114</f>
        <v>-55980.079099999857</v>
      </c>
    </row>
    <row r="117" spans="1:9" x14ac:dyDescent="0.25">
      <c r="A117" s="33" t="s">
        <v>198</v>
      </c>
      <c r="B117" s="36">
        <f>SUM(B102:B116)</f>
        <v>355927</v>
      </c>
      <c r="C117" s="36"/>
      <c r="H117" s="35"/>
    </row>
    <row r="118" spans="1:9" x14ac:dyDescent="0.25">
      <c r="A118" s="33"/>
      <c r="B118" s="36"/>
      <c r="C118" s="36"/>
      <c r="H118" s="35"/>
    </row>
    <row r="119" spans="1:9" ht="15" x14ac:dyDescent="0.25">
      <c r="A119" s="50" t="s">
        <v>199</v>
      </c>
      <c r="B119" s="51">
        <f>SUM(B95:B116)</f>
        <v>905556</v>
      </c>
      <c r="C119" s="51"/>
      <c r="H119" s="35"/>
    </row>
    <row r="120" spans="1:9" x14ac:dyDescent="0.25">
      <c r="A120" s="33"/>
      <c r="B120" s="36"/>
      <c r="C120" s="36"/>
      <c r="H120" s="35"/>
    </row>
    <row r="121" spans="1:9" ht="15" x14ac:dyDescent="0.25">
      <c r="A121" s="210" t="s">
        <v>200</v>
      </c>
      <c r="B121" s="210"/>
      <c r="C121" s="210"/>
      <c r="H121" s="35"/>
    </row>
    <row r="122" spans="1:9" x14ac:dyDescent="0.25">
      <c r="A122" s="76" t="s">
        <v>201</v>
      </c>
      <c r="B122" s="36">
        <f>(SUM(B3:B79)+B87)</f>
        <v>679699.92090000014</v>
      </c>
      <c r="C122" s="77"/>
      <c r="H122" s="35"/>
    </row>
    <row r="123" spans="1:9" x14ac:dyDescent="0.25">
      <c r="A123" s="76" t="s">
        <v>202</v>
      </c>
      <c r="B123" s="36">
        <f>B95</f>
        <v>316078</v>
      </c>
      <c r="C123" s="77">
        <v>422</v>
      </c>
      <c r="H123" s="35"/>
    </row>
    <row r="124" spans="1:9" x14ac:dyDescent="0.25">
      <c r="A124" s="76" t="s">
        <v>176</v>
      </c>
      <c r="B124" s="36">
        <f>B96</f>
        <v>184233</v>
      </c>
      <c r="C124" s="77">
        <v>92</v>
      </c>
      <c r="E124" s="34">
        <f>849*75</f>
        <v>63675</v>
      </c>
      <c r="H124" s="35"/>
    </row>
    <row r="125" spans="1:9" x14ac:dyDescent="0.25">
      <c r="A125" s="76" t="s">
        <v>203</v>
      </c>
      <c r="B125" s="36">
        <f>B99</f>
        <v>21605</v>
      </c>
      <c r="C125" s="77"/>
      <c r="G125" s="35"/>
      <c r="H125" s="35">
        <f>H112-H111-H114</f>
        <v>-372058.07909999986</v>
      </c>
    </row>
    <row r="126" spans="1:9" x14ac:dyDescent="0.25">
      <c r="A126" s="76" t="s">
        <v>204</v>
      </c>
      <c r="B126" s="36">
        <f>SUM(B102:B117)</f>
        <v>711854</v>
      </c>
      <c r="C126" s="77"/>
      <c r="G126" s="85"/>
      <c r="H126" s="35"/>
    </row>
    <row r="127" spans="1:9" x14ac:dyDescent="0.25">
      <c r="A127" s="76" t="s">
        <v>177</v>
      </c>
      <c r="B127" s="36">
        <v>9510</v>
      </c>
      <c r="C127" s="77">
        <v>0</v>
      </c>
      <c r="G127" s="35">
        <f>SUM(G117:G126)</f>
        <v>0</v>
      </c>
      <c r="H127" s="35"/>
    </row>
    <row r="128" spans="1:9" x14ac:dyDescent="0.25">
      <c r="A128" s="76" t="s">
        <v>205</v>
      </c>
      <c r="B128" s="36">
        <f>849*C128</f>
        <v>124803</v>
      </c>
      <c r="C128" s="77">
        <v>147</v>
      </c>
      <c r="G128" s="86"/>
      <c r="H128" s="35"/>
    </row>
    <row r="129" spans="1:8" x14ac:dyDescent="0.25">
      <c r="B129" s="36"/>
      <c r="C129" s="77"/>
      <c r="H129" s="35"/>
    </row>
    <row r="130" spans="1:8" x14ac:dyDescent="0.25">
      <c r="A130" s="33"/>
      <c r="B130" s="36">
        <f>SUM(B123:B129)-B122</f>
        <v>688383.07909999986</v>
      </c>
      <c r="C130" s="78"/>
      <c r="H130" s="35"/>
    </row>
    <row r="131" spans="1:8" x14ac:dyDescent="0.25">
      <c r="A131" s="33"/>
      <c r="B131" s="36"/>
      <c r="C131" s="36"/>
      <c r="H131" s="35"/>
    </row>
    <row r="132" spans="1:8" x14ac:dyDescent="0.25">
      <c r="A132" s="33"/>
      <c r="B132" s="36"/>
      <c r="C132" s="36"/>
      <c r="H132" s="35"/>
    </row>
    <row r="133" spans="1:8" x14ac:dyDescent="0.25">
      <c r="A133" s="33"/>
      <c r="B133" s="36"/>
      <c r="C133" s="36"/>
      <c r="H133" s="35"/>
    </row>
    <row r="134" spans="1:8" x14ac:dyDescent="0.25">
      <c r="A134" s="33"/>
      <c r="B134" s="36"/>
      <c r="C134" s="36"/>
      <c r="H134" s="35"/>
    </row>
    <row r="135" spans="1:8" x14ac:dyDescent="0.25">
      <c r="H135" s="35"/>
    </row>
    <row r="136" spans="1:8" x14ac:dyDescent="0.25">
      <c r="H136" s="35"/>
    </row>
    <row r="137" spans="1:8" x14ac:dyDescent="0.25">
      <c r="H137" s="35"/>
    </row>
    <row r="138" spans="1:8" x14ac:dyDescent="0.25">
      <c r="H138" s="35"/>
    </row>
    <row r="139" spans="1:8" x14ac:dyDescent="0.25">
      <c r="H139" s="35"/>
    </row>
    <row r="140" spans="1:8" x14ac:dyDescent="0.25">
      <c r="H140" s="35"/>
    </row>
    <row r="141" spans="1:8" x14ac:dyDescent="0.25">
      <c r="H141" s="35"/>
    </row>
    <row r="142" spans="1:8" x14ac:dyDescent="0.25">
      <c r="H142" s="35"/>
    </row>
    <row r="143" spans="1:8" x14ac:dyDescent="0.25">
      <c r="H143" s="35"/>
    </row>
    <row r="144" spans="1:8" x14ac:dyDescent="0.25">
      <c r="H144" s="35"/>
    </row>
    <row r="145" spans="1:8" x14ac:dyDescent="0.25">
      <c r="H145" s="35"/>
    </row>
    <row r="146" spans="1:8" x14ac:dyDescent="0.25">
      <c r="H146" s="35"/>
    </row>
    <row r="147" spans="1:8" x14ac:dyDescent="0.25">
      <c r="H147" s="35"/>
    </row>
    <row r="148" spans="1:8" x14ac:dyDescent="0.25">
      <c r="H148" s="35"/>
    </row>
    <row r="149" spans="1:8" x14ac:dyDescent="0.25">
      <c r="H149" s="35"/>
    </row>
    <row r="150" spans="1:8" x14ac:dyDescent="0.25">
      <c r="H150" s="35"/>
    </row>
    <row r="151" spans="1:8" x14ac:dyDescent="0.25">
      <c r="H151" s="35"/>
    </row>
    <row r="152" spans="1:8" x14ac:dyDescent="0.25">
      <c r="H152" s="35"/>
    </row>
    <row r="153" spans="1:8" x14ac:dyDescent="0.25">
      <c r="H153" s="35"/>
    </row>
    <row r="154" spans="1:8" x14ac:dyDescent="0.25">
      <c r="H154" s="35"/>
    </row>
    <row r="155" spans="1:8" x14ac:dyDescent="0.25">
      <c r="H155" s="35"/>
    </row>
    <row r="156" spans="1:8" x14ac:dyDescent="0.25">
      <c r="H156" s="35"/>
    </row>
    <row r="157" spans="1:8" x14ac:dyDescent="0.25">
      <c r="H157" s="35"/>
    </row>
    <row r="158" spans="1:8" x14ac:dyDescent="0.25">
      <c r="H158" s="35"/>
    </row>
    <row r="159" spans="1:8" x14ac:dyDescent="0.25">
      <c r="A159" s="76"/>
      <c r="B159" s="36"/>
      <c r="C159" s="36"/>
      <c r="H159" s="35"/>
    </row>
    <row r="160" spans="1:8" x14ac:dyDescent="0.25">
      <c r="A160" s="76"/>
      <c r="B160" s="36"/>
      <c r="C160" s="36"/>
      <c r="H160" s="35"/>
    </row>
    <row r="163" spans="1:2" x14ac:dyDescent="0.25">
      <c r="A163" s="34" t="s">
        <v>175</v>
      </c>
      <c r="B163" s="35">
        <v>15000</v>
      </c>
    </row>
    <row r="164" spans="1:2" x14ac:dyDescent="0.25">
      <c r="A164" s="34" t="s">
        <v>182</v>
      </c>
      <c r="B164" s="35">
        <v>5000</v>
      </c>
    </row>
    <row r="165" spans="1:2" x14ac:dyDescent="0.25">
      <c r="A165" s="34" t="s">
        <v>183</v>
      </c>
      <c r="B165" s="35">
        <v>10000</v>
      </c>
    </row>
    <row r="166" spans="1:2" x14ac:dyDescent="0.25">
      <c r="A166" s="34" t="s">
        <v>184</v>
      </c>
      <c r="B166" s="35">
        <v>150000</v>
      </c>
    </row>
    <row r="167" spans="1:2" x14ac:dyDescent="0.25">
      <c r="A167" s="34" t="s">
        <v>185</v>
      </c>
      <c r="B167" s="35">
        <v>15000</v>
      </c>
    </row>
    <row r="168" spans="1:2" x14ac:dyDescent="0.25">
      <c r="A168" s="34" t="s">
        <v>187</v>
      </c>
      <c r="B168" s="35">
        <v>15000</v>
      </c>
    </row>
    <row r="169" spans="1:2" x14ac:dyDescent="0.25">
      <c r="A169" s="34" t="s">
        <v>189</v>
      </c>
      <c r="B169" s="35">
        <v>700</v>
      </c>
    </row>
    <row r="170" spans="1:2" x14ac:dyDescent="0.25">
      <c r="A170" s="34" t="s">
        <v>191</v>
      </c>
      <c r="B170" s="35">
        <v>500</v>
      </c>
    </row>
    <row r="171" spans="1:2" x14ac:dyDescent="0.25">
      <c r="A171" s="34" t="s">
        <v>193</v>
      </c>
      <c r="B171" s="35">
        <v>35081</v>
      </c>
    </row>
    <row r="172" spans="1:2" x14ac:dyDescent="0.25">
      <c r="A172" s="34" t="s">
        <v>194</v>
      </c>
      <c r="B172" s="35">
        <v>36444</v>
      </c>
    </row>
    <row r="173" spans="1:2" x14ac:dyDescent="0.25">
      <c r="A173" s="34" t="s">
        <v>195</v>
      </c>
      <c r="B173" s="35">
        <v>32702</v>
      </c>
    </row>
    <row r="174" spans="1:2" x14ac:dyDescent="0.25">
      <c r="A174" s="34" t="s">
        <v>196</v>
      </c>
      <c r="B174" s="35">
        <v>7500</v>
      </c>
    </row>
    <row r="175" spans="1:2" x14ac:dyDescent="0.25">
      <c r="A175" s="33" t="s">
        <v>198</v>
      </c>
      <c r="B175" s="36">
        <f>SUM(B163:B174)</f>
        <v>322927</v>
      </c>
    </row>
  </sheetData>
  <sortState xmlns:xlrd2="http://schemas.microsoft.com/office/spreadsheetml/2017/richdata2" ref="A102:B116">
    <sortCondition ref="A102:A116"/>
  </sortState>
  <mergeCells count="2">
    <mergeCell ref="A121:C121"/>
    <mergeCell ref="P103:Q103"/>
  </mergeCells>
  <printOptions horizontalCentered="1"/>
  <pageMargins left="0.12" right="0.12" top="0.33" bottom="0.2" header="0.15" footer="0.12"/>
  <pageSetup scale="87" fitToWidth="2" fitToHeight="2" orientation="portrait" r:id="rId1"/>
  <headerFooter>
    <oddHeader>&amp;C&amp;24SRSWC 2024 Budget</oddHeader>
  </headerFooter>
  <rowBreaks count="2" manualBreakCount="2">
    <brk id="52" max="19" man="1"/>
    <brk id="91" max="19" man="1"/>
  </rowBreaks>
  <colBreaks count="2" manualBreakCount="2">
    <brk id="7" max="103" man="1"/>
    <brk id="22" max="1048575" man="1"/>
  </col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33F1C8-A882-443D-8C4B-7FB69D58FEAA}">
  <dimension ref="A2:N67"/>
  <sheetViews>
    <sheetView workbookViewId="0">
      <selection activeCell="C9" sqref="C9"/>
    </sheetView>
  </sheetViews>
  <sheetFormatPr defaultColWidth="8.88671875" defaultRowHeight="15" x14ac:dyDescent="0.25"/>
  <cols>
    <col min="1" max="1" width="66.5546875" style="31" bestFit="1" customWidth="1"/>
    <col min="2" max="3" width="14" style="97" bestFit="1" customWidth="1"/>
    <col min="4" max="4" width="15.44140625" style="97" bestFit="1" customWidth="1"/>
    <col min="5" max="5" width="13.44140625" style="97" bestFit="1" customWidth="1"/>
    <col min="6" max="6" width="8.88671875" style="97"/>
    <col min="7" max="7" width="36.5546875" style="97" bestFit="1" customWidth="1"/>
    <col min="8" max="9" width="14.44140625" style="97" bestFit="1" customWidth="1"/>
    <col min="10" max="10" width="17.44140625" style="97" bestFit="1" customWidth="1"/>
    <col min="11" max="11" width="13.44140625" style="97" bestFit="1" customWidth="1"/>
    <col min="12" max="12" width="12.109375" style="31" bestFit="1" customWidth="1"/>
    <col min="13" max="13" width="33" style="31" bestFit="1" customWidth="1"/>
    <col min="14" max="14" width="11" style="97" bestFit="1" customWidth="1"/>
    <col min="15" max="16384" width="8.88671875" style="31"/>
  </cols>
  <sheetData>
    <row r="2" spans="1:10" ht="30" x14ac:dyDescent="0.25">
      <c r="H2" s="104" t="s">
        <v>206</v>
      </c>
      <c r="I2" s="104" t="s">
        <v>207</v>
      </c>
      <c r="J2" s="104" t="s">
        <v>208</v>
      </c>
    </row>
    <row r="3" spans="1:10" x14ac:dyDescent="0.25">
      <c r="A3" s="96" t="s">
        <v>160</v>
      </c>
      <c r="D3" s="97">
        <f>SUM(C4:C6)</f>
        <v>671688.99065000005</v>
      </c>
      <c r="G3" s="103" t="s">
        <v>88</v>
      </c>
      <c r="H3" s="57">
        <f>SUM('2024 Details'!T3:T10)</f>
        <v>39296</v>
      </c>
      <c r="I3" s="57">
        <f>SUM('2024 Details'!S3:S10)</f>
        <v>34626.339999999997</v>
      </c>
      <c r="J3" s="57">
        <f>H3-I3</f>
        <v>4669.6600000000035</v>
      </c>
    </row>
    <row r="4" spans="1:10" x14ac:dyDescent="0.25">
      <c r="A4" s="98" t="s">
        <v>201</v>
      </c>
      <c r="C4" s="99">
        <f>'2024 Details'!S85</f>
        <v>601113.55000000005</v>
      </c>
      <c r="G4" s="103" t="s">
        <v>96</v>
      </c>
      <c r="H4" s="57">
        <f>SUM('2024 Details'!T12)</f>
        <v>0</v>
      </c>
      <c r="I4" s="57">
        <f>SUM('2024 Details'!S12)</f>
        <v>0</v>
      </c>
      <c r="J4" s="57">
        <f>H4-I4</f>
        <v>0</v>
      </c>
    </row>
    <row r="5" spans="1:10" x14ac:dyDescent="0.25">
      <c r="A5" s="98" t="s">
        <v>209</v>
      </c>
      <c r="C5" s="99">
        <f>C4*8.5%</f>
        <v>51094.651750000005</v>
      </c>
      <c r="G5" s="103" t="s">
        <v>97</v>
      </c>
      <c r="H5" s="57">
        <f>SUM('2024 Details'!T14:T18)</f>
        <v>28945.32</v>
      </c>
      <c r="I5" s="57">
        <f>SUM('2024 Details'!S14:S18)</f>
        <v>27533.119999999999</v>
      </c>
      <c r="J5" s="57">
        <f t="shared" ref="J5:J17" si="0">H5-I5</f>
        <v>1412.2000000000007</v>
      </c>
    </row>
    <row r="6" spans="1:10" x14ac:dyDescent="0.25">
      <c r="A6" s="98" t="s">
        <v>210</v>
      </c>
      <c r="C6" s="99">
        <f>(C8+C19)*3%</f>
        <v>19480.788899999996</v>
      </c>
      <c r="G6" s="103" t="s">
        <v>103</v>
      </c>
      <c r="H6" s="57">
        <f>SUM('2024 Details'!T20:T23)</f>
        <v>37781</v>
      </c>
      <c r="I6" s="57">
        <f>SUM('2024 Details'!S20:S23)</f>
        <v>37663.550000000003</v>
      </c>
      <c r="J6" s="57">
        <f t="shared" si="0"/>
        <v>117.44999999999709</v>
      </c>
    </row>
    <row r="7" spans="1:10" x14ac:dyDescent="0.25">
      <c r="G7" s="103" t="s">
        <v>107</v>
      </c>
      <c r="H7" s="57">
        <f>SUM('2024 Details'!T25:T26)</f>
        <v>2500</v>
      </c>
      <c r="I7" s="57">
        <f>SUM('2024 Details'!S25:S26)</f>
        <v>4050</v>
      </c>
      <c r="J7" s="57">
        <f t="shared" si="0"/>
        <v>-1550</v>
      </c>
    </row>
    <row r="8" spans="1:10" x14ac:dyDescent="0.25">
      <c r="A8" s="96" t="s">
        <v>211</v>
      </c>
      <c r="B8" s="99"/>
      <c r="C8" s="99">
        <f>SUM(B9:B17)</f>
        <v>349911.73999999993</v>
      </c>
      <c r="G8" s="103" t="s">
        <v>108</v>
      </c>
      <c r="H8" s="57">
        <f>SUM('2024 Details'!T28:T30)</f>
        <v>193500</v>
      </c>
      <c r="I8" s="57">
        <f>SUM('2024 Details'!S28:S30)</f>
        <v>206301.81999999998</v>
      </c>
      <c r="J8" s="57">
        <f t="shared" si="0"/>
        <v>-12801.819999999978</v>
      </c>
    </row>
    <row r="9" spans="1:10" x14ac:dyDescent="0.25">
      <c r="A9" s="98" t="s">
        <v>212</v>
      </c>
      <c r="B9" s="99">
        <v>6695</v>
      </c>
      <c r="C9" s="99"/>
      <c r="G9" s="103" t="s">
        <v>112</v>
      </c>
      <c r="H9" s="57">
        <f>SUM('2024 Details'!T32:T38)</f>
        <v>36295.879999999997</v>
      </c>
      <c r="I9" s="57">
        <f>SUM('2024 Details'!S32:S38)</f>
        <v>30217.15</v>
      </c>
      <c r="J9" s="57">
        <f t="shared" si="0"/>
        <v>6078.7299999999959</v>
      </c>
    </row>
    <row r="10" spans="1:10" x14ac:dyDescent="0.25">
      <c r="A10" s="98" t="s">
        <v>213</v>
      </c>
      <c r="B10" s="99">
        <v>316523.84999999998</v>
      </c>
      <c r="C10" s="99"/>
      <c r="G10" s="103" t="s">
        <v>119</v>
      </c>
      <c r="H10" s="57">
        <f>SUM('2024 Details'!T40:T49)</f>
        <v>37414.67</v>
      </c>
      <c r="I10" s="57">
        <f>SUM('2024 Details'!S40:S49)</f>
        <v>23478.760000000002</v>
      </c>
      <c r="J10" s="57">
        <f t="shared" si="0"/>
        <v>13935.909999999996</v>
      </c>
    </row>
    <row r="11" spans="1:10" x14ac:dyDescent="0.25">
      <c r="A11" s="98" t="s">
        <v>214</v>
      </c>
      <c r="B11" s="99">
        <v>0</v>
      </c>
      <c r="C11" s="99"/>
      <c r="G11" s="103" t="s">
        <v>129</v>
      </c>
      <c r="H11" s="57">
        <f>SUM('2024 Details'!T51:T52)</f>
        <v>11060</v>
      </c>
      <c r="I11" s="57">
        <f>SUM('2024 Details'!S51:S52)</f>
        <v>6600</v>
      </c>
      <c r="J11" s="57">
        <f t="shared" si="0"/>
        <v>4460</v>
      </c>
    </row>
    <row r="12" spans="1:10" x14ac:dyDescent="0.25">
      <c r="A12" s="98" t="s">
        <v>215</v>
      </c>
      <c r="B12" s="99">
        <v>0</v>
      </c>
      <c r="C12" s="99"/>
      <c r="G12" s="103" t="s">
        <v>131</v>
      </c>
      <c r="H12" s="57">
        <f>SUM('2024 Details'!T54:T57)</f>
        <v>38000</v>
      </c>
      <c r="I12" s="57">
        <f>SUM('2024 Details'!S54:S57)</f>
        <v>36700</v>
      </c>
      <c r="J12" s="57">
        <f t="shared" si="0"/>
        <v>1300</v>
      </c>
    </row>
    <row r="13" spans="1:10" x14ac:dyDescent="0.25">
      <c r="A13" s="98" t="s">
        <v>216</v>
      </c>
      <c r="B13" s="99">
        <v>16753.98</v>
      </c>
      <c r="C13" s="99"/>
      <c r="G13" s="103" t="s">
        <v>135</v>
      </c>
      <c r="H13" s="57">
        <f>SUM('2024 Details'!T59:T62)</f>
        <v>159800</v>
      </c>
      <c r="I13" s="57">
        <f>SUM('2024 Details'!S59:S62)</f>
        <v>145502.85</v>
      </c>
      <c r="J13" s="57">
        <f t="shared" si="0"/>
        <v>14297.149999999994</v>
      </c>
    </row>
    <row r="14" spans="1:10" x14ac:dyDescent="0.25">
      <c r="A14" s="98" t="s">
        <v>217</v>
      </c>
      <c r="B14" s="99">
        <v>1084</v>
      </c>
      <c r="C14" s="99"/>
      <c r="G14" s="103" t="s">
        <v>139</v>
      </c>
      <c r="H14" s="57">
        <f>SUM('2024 Details'!T64:T70)</f>
        <v>9658.67</v>
      </c>
      <c r="I14" s="57">
        <f>SUM('2024 Details'!S64:S70)</f>
        <v>9274.81</v>
      </c>
      <c r="J14" s="57">
        <f t="shared" si="0"/>
        <v>383.86000000000058</v>
      </c>
    </row>
    <row r="15" spans="1:10" x14ac:dyDescent="0.25">
      <c r="A15" s="98" t="s">
        <v>218</v>
      </c>
      <c r="B15" s="99">
        <v>0</v>
      </c>
      <c r="C15" s="99"/>
      <c r="G15" s="103" t="s">
        <v>146</v>
      </c>
      <c r="H15" s="57">
        <f>SUM('2024 Details'!T72:T74)</f>
        <v>16500</v>
      </c>
      <c r="I15" s="57">
        <f>SUM('2024 Details'!S72:S74)</f>
        <v>21144.880000000001</v>
      </c>
      <c r="J15" s="57">
        <f t="shared" si="0"/>
        <v>-4644.880000000001</v>
      </c>
    </row>
    <row r="16" spans="1:10" x14ac:dyDescent="0.25">
      <c r="A16" s="98" t="s">
        <v>219</v>
      </c>
      <c r="B16" s="99">
        <v>0</v>
      </c>
      <c r="C16" s="99"/>
      <c r="G16" s="103" t="s">
        <v>150</v>
      </c>
      <c r="H16" s="57">
        <f>SUM('2024 Details'!T76)</f>
        <v>700</v>
      </c>
      <c r="I16" s="57">
        <f>SUM('2024 Details'!S76)</f>
        <v>1050</v>
      </c>
      <c r="J16" s="57">
        <f t="shared" si="0"/>
        <v>-350</v>
      </c>
    </row>
    <row r="17" spans="1:12" x14ac:dyDescent="0.25">
      <c r="A17" s="98" t="s">
        <v>220</v>
      </c>
      <c r="B17" s="99">
        <v>8854.91</v>
      </c>
      <c r="C17" s="99"/>
      <c r="G17" s="103" t="s">
        <v>152</v>
      </c>
      <c r="H17" s="57">
        <f>SUM('2024 Details'!T78:T81)</f>
        <v>15000</v>
      </c>
      <c r="I17" s="57">
        <f>SUM('2024 Details'!S78:S81)</f>
        <v>16970.27</v>
      </c>
      <c r="J17" s="57">
        <f t="shared" si="0"/>
        <v>-1970.2700000000004</v>
      </c>
    </row>
    <row r="18" spans="1:12" ht="15.6" thickBot="1" x14ac:dyDescent="0.3">
      <c r="A18" s="98"/>
      <c r="B18" s="99"/>
      <c r="C18" s="99"/>
      <c r="H18" s="106">
        <f t="shared" ref="H18:J18" si="1">SUM(H3:H17)</f>
        <v>626451.54</v>
      </c>
      <c r="I18" s="106">
        <f t="shared" si="1"/>
        <v>601113.55000000005</v>
      </c>
      <c r="J18" s="106">
        <f t="shared" si="1"/>
        <v>25337.990000000009</v>
      </c>
    </row>
    <row r="19" spans="1:12" ht="15.6" thickTop="1" x14ac:dyDescent="0.25">
      <c r="A19" s="96" t="s">
        <v>221</v>
      </c>
      <c r="B19" s="99"/>
      <c r="C19" s="99">
        <f>SUM(B20:B28)</f>
        <v>299447.89</v>
      </c>
      <c r="H19" s="57"/>
      <c r="I19" s="57"/>
      <c r="J19" s="57"/>
    </row>
    <row r="20" spans="1:12" x14ac:dyDescent="0.25">
      <c r="A20" s="98" t="s">
        <v>212</v>
      </c>
      <c r="B20" s="99">
        <f>10305</f>
        <v>10305</v>
      </c>
      <c r="C20" s="99"/>
      <c r="H20" s="57"/>
      <c r="I20" s="57"/>
      <c r="J20" s="57"/>
    </row>
    <row r="21" spans="1:12" x14ac:dyDescent="0.25">
      <c r="A21" s="98" t="s">
        <v>213</v>
      </c>
      <c r="B21" s="99">
        <v>260565.57</v>
      </c>
      <c r="C21" s="99"/>
    </row>
    <row r="22" spans="1:12" x14ac:dyDescent="0.25">
      <c r="A22" s="98" t="s">
        <v>214</v>
      </c>
      <c r="B22" s="99">
        <v>0</v>
      </c>
      <c r="C22" s="99"/>
    </row>
    <row r="23" spans="1:12" x14ac:dyDescent="0.25">
      <c r="A23" s="98" t="s">
        <v>215</v>
      </c>
      <c r="B23" s="99">
        <v>0</v>
      </c>
      <c r="C23" s="99"/>
      <c r="H23" s="97" t="s">
        <v>222</v>
      </c>
      <c r="I23" s="97" t="s">
        <v>223</v>
      </c>
      <c r="J23" s="97" t="s">
        <v>224</v>
      </c>
      <c r="K23" s="97" t="s">
        <v>225</v>
      </c>
    </row>
    <row r="24" spans="1:12" x14ac:dyDescent="0.25">
      <c r="A24" s="98" t="s">
        <v>216</v>
      </c>
      <c r="B24" s="99">
        <v>28577.32</v>
      </c>
      <c r="C24" s="99"/>
      <c r="G24" s="102" t="s">
        <v>226</v>
      </c>
      <c r="H24" s="97">
        <v>99913.93</v>
      </c>
      <c r="I24" s="97">
        <v>99914.16</v>
      </c>
      <c r="J24" s="97">
        <f t="shared" ref="J24:J30" si="2">H24-I24</f>
        <v>-0.23000000001047738</v>
      </c>
      <c r="K24" s="97">
        <v>99913.93</v>
      </c>
      <c r="L24" s="31" t="s">
        <v>227</v>
      </c>
    </row>
    <row r="25" spans="1:12" x14ac:dyDescent="0.25">
      <c r="A25" s="98" t="s">
        <v>217</v>
      </c>
      <c r="B25" s="99">
        <v>0</v>
      </c>
      <c r="C25" s="99"/>
      <c r="G25" s="102" t="s">
        <v>228</v>
      </c>
      <c r="H25" s="97">
        <v>141452.10999999999</v>
      </c>
      <c r="I25" s="97">
        <v>141452.29999999999</v>
      </c>
      <c r="J25" s="97">
        <f t="shared" si="2"/>
        <v>-0.19000000000232831</v>
      </c>
      <c r="K25" s="97">
        <v>141452.10999999999</v>
      </c>
      <c r="L25" s="31" t="s">
        <v>229</v>
      </c>
    </row>
    <row r="26" spans="1:12" x14ac:dyDescent="0.25">
      <c r="A26" s="98" t="s">
        <v>218</v>
      </c>
      <c r="B26" s="99">
        <v>0</v>
      </c>
      <c r="C26" s="99"/>
      <c r="G26" s="102" t="s">
        <v>230</v>
      </c>
      <c r="H26" s="97">
        <v>111406.05</v>
      </c>
      <c r="I26" s="97">
        <v>111406.21</v>
      </c>
      <c r="J26" s="97">
        <f t="shared" si="2"/>
        <v>-0.16000000000349246</v>
      </c>
      <c r="K26" s="97">
        <v>111406.05</v>
      </c>
      <c r="L26" s="31" t="s">
        <v>231</v>
      </c>
    </row>
    <row r="27" spans="1:12" x14ac:dyDescent="0.25">
      <c r="A27" s="98" t="s">
        <v>219</v>
      </c>
      <c r="B27" s="99">
        <v>0</v>
      </c>
      <c r="C27" s="99"/>
      <c r="G27" s="102" t="s">
        <v>232</v>
      </c>
      <c r="H27" s="97">
        <v>112000.27</v>
      </c>
      <c r="I27" s="97">
        <v>112000.41</v>
      </c>
      <c r="J27" s="97">
        <f t="shared" si="2"/>
        <v>-0.13999999999941792</v>
      </c>
      <c r="K27" s="97">
        <v>112000.27</v>
      </c>
      <c r="L27" s="31" t="s">
        <v>233</v>
      </c>
    </row>
    <row r="28" spans="1:12" x14ac:dyDescent="0.25">
      <c r="A28" s="98" t="s">
        <v>220</v>
      </c>
      <c r="B28" s="99">
        <v>0</v>
      </c>
      <c r="C28" s="99"/>
      <c r="G28" s="102" t="s">
        <v>234</v>
      </c>
      <c r="H28" s="97">
        <v>102043.65</v>
      </c>
      <c r="I28" s="97">
        <v>102043.77</v>
      </c>
      <c r="J28" s="97">
        <f t="shared" si="2"/>
        <v>-0.1200000000098953</v>
      </c>
      <c r="K28" s="97">
        <v>102043.65</v>
      </c>
      <c r="L28" s="31" t="s">
        <v>235</v>
      </c>
    </row>
    <row r="29" spans="1:12" x14ac:dyDescent="0.25">
      <c r="A29" s="98"/>
      <c r="B29" s="99"/>
      <c r="C29" s="31"/>
      <c r="G29" s="102" t="s">
        <v>236</v>
      </c>
      <c r="H29" s="97">
        <v>50268.98</v>
      </c>
      <c r="I29" s="97">
        <v>50269.07</v>
      </c>
      <c r="J29" s="97">
        <f t="shared" si="2"/>
        <v>-8.999999999650754E-2</v>
      </c>
      <c r="K29" s="97">
        <v>50268.98</v>
      </c>
      <c r="L29" s="31" t="s">
        <v>237</v>
      </c>
    </row>
    <row r="30" spans="1:12" x14ac:dyDescent="0.25">
      <c r="A30" s="96" t="s">
        <v>238</v>
      </c>
      <c r="B30" s="99"/>
      <c r="C30" s="99">
        <f>SUM(B31:B49)</f>
        <v>380708.22</v>
      </c>
      <c r="G30" s="102" t="s">
        <v>239</v>
      </c>
      <c r="H30" s="97">
        <v>16062.12</v>
      </c>
      <c r="I30" s="97">
        <v>16062.15</v>
      </c>
      <c r="J30" s="97">
        <f t="shared" si="2"/>
        <v>-2.9999999998835847E-2</v>
      </c>
      <c r="K30" s="97">
        <v>16062.12</v>
      </c>
      <c r="L30" s="31" t="s">
        <v>240</v>
      </c>
    </row>
    <row r="31" spans="1:12" x14ac:dyDescent="0.25">
      <c r="A31" s="31" t="s">
        <v>241</v>
      </c>
      <c r="B31" s="97">
        <v>10000</v>
      </c>
    </row>
    <row r="32" spans="1:12" x14ac:dyDescent="0.25">
      <c r="A32" s="31" t="s">
        <v>242</v>
      </c>
      <c r="B32" s="97">
        <v>150000</v>
      </c>
      <c r="H32" s="97">
        <f>SUM(H24:H31)</f>
        <v>633147.11</v>
      </c>
      <c r="I32" s="97">
        <f t="shared" ref="I32:J32" si="3">SUM(I24:I31)</f>
        <v>633148.06999999995</v>
      </c>
      <c r="J32" s="97">
        <f t="shared" si="3"/>
        <v>-0.96000000002095476</v>
      </c>
      <c r="K32" s="97">
        <f>SUM(K24:K30)</f>
        <v>633147.11</v>
      </c>
    </row>
    <row r="33" spans="1:8" x14ac:dyDescent="0.25">
      <c r="A33" s="31" t="s">
        <v>243</v>
      </c>
      <c r="B33" s="97">
        <v>840.06</v>
      </c>
    </row>
    <row r="34" spans="1:8" x14ac:dyDescent="0.25">
      <c r="A34" s="31" t="s">
        <v>244</v>
      </c>
      <c r="B34" s="97">
        <v>15000</v>
      </c>
      <c r="H34" s="97">
        <f>C8+C19-C6</f>
        <v>629878.84109999985</v>
      </c>
    </row>
    <row r="35" spans="1:8" x14ac:dyDescent="0.25">
      <c r="A35" s="31" t="s">
        <v>245</v>
      </c>
      <c r="B35" s="97">
        <v>1000</v>
      </c>
    </row>
    <row r="36" spans="1:8" x14ac:dyDescent="0.25">
      <c r="A36" s="31" t="s">
        <v>246</v>
      </c>
      <c r="B36" s="97">
        <v>15000</v>
      </c>
      <c r="H36" s="97">
        <f>H32-H34</f>
        <v>3268.268900000141</v>
      </c>
    </row>
    <row r="37" spans="1:8" x14ac:dyDescent="0.25">
      <c r="A37" s="31" t="s">
        <v>191</v>
      </c>
      <c r="B37" s="97">
        <v>500</v>
      </c>
    </row>
    <row r="38" spans="1:8" x14ac:dyDescent="0.25">
      <c r="A38" s="31" t="s">
        <v>189</v>
      </c>
      <c r="B38" s="97">
        <v>1050</v>
      </c>
    </row>
    <row r="39" spans="1:8" x14ac:dyDescent="0.25">
      <c r="A39" s="31" t="s">
        <v>247</v>
      </c>
      <c r="B39" s="97">
        <f>N58</f>
        <v>7538.34</v>
      </c>
    </row>
    <row r="40" spans="1:8" x14ac:dyDescent="0.25">
      <c r="A40" s="31" t="s">
        <v>248</v>
      </c>
      <c r="B40" s="97">
        <v>11500</v>
      </c>
    </row>
    <row r="41" spans="1:8" x14ac:dyDescent="0.25">
      <c r="A41" s="31" t="s">
        <v>249</v>
      </c>
      <c r="B41" s="97">
        <f>K58</f>
        <v>200</v>
      </c>
    </row>
    <row r="42" spans="1:8" x14ac:dyDescent="0.25">
      <c r="A42" s="31" t="s">
        <v>250</v>
      </c>
      <c r="B42" s="97">
        <v>16770.27</v>
      </c>
    </row>
    <row r="43" spans="1:8" x14ac:dyDescent="0.25">
      <c r="A43" s="31" t="s">
        <v>251</v>
      </c>
      <c r="B43" s="97">
        <v>37663.550000000003</v>
      </c>
    </row>
    <row r="44" spans="1:8" x14ac:dyDescent="0.25">
      <c r="A44" s="31" t="s">
        <v>252</v>
      </c>
      <c r="B44" s="97">
        <v>1000</v>
      </c>
    </row>
    <row r="45" spans="1:8" x14ac:dyDescent="0.25">
      <c r="A45" s="31" t="s">
        <v>253</v>
      </c>
      <c r="B45" s="97">
        <v>23500</v>
      </c>
    </row>
    <row r="46" spans="1:8" x14ac:dyDescent="0.25">
      <c r="A46" s="31" t="s">
        <v>254</v>
      </c>
      <c r="B46" s="97">
        <v>15000</v>
      </c>
    </row>
    <row r="47" spans="1:8" x14ac:dyDescent="0.25">
      <c r="A47" s="31" t="s">
        <v>255</v>
      </c>
      <c r="B47" s="97">
        <v>5000</v>
      </c>
    </row>
    <row r="48" spans="1:8" x14ac:dyDescent="0.25">
      <c r="A48" s="31" t="s">
        <v>256</v>
      </c>
      <c r="B48" s="97">
        <v>36444</v>
      </c>
    </row>
    <row r="49" spans="1:14" x14ac:dyDescent="0.25">
      <c r="A49" s="31" t="s">
        <v>257</v>
      </c>
      <c r="B49" s="97">
        <v>32702</v>
      </c>
    </row>
    <row r="51" spans="1:14" x14ac:dyDescent="0.25">
      <c r="A51" s="100" t="s">
        <v>199</v>
      </c>
      <c r="D51" s="97">
        <f>C8+C19+C30</f>
        <v>1030067.8499999999</v>
      </c>
    </row>
    <row r="52" spans="1:14" x14ac:dyDescent="0.25">
      <c r="G52" s="212" t="s">
        <v>258</v>
      </c>
      <c r="H52" s="212"/>
      <c r="J52" s="213" t="s">
        <v>259</v>
      </c>
      <c r="K52" s="213"/>
      <c r="M52" s="214" t="s">
        <v>260</v>
      </c>
      <c r="N52" s="214"/>
    </row>
    <row r="53" spans="1:14" x14ac:dyDescent="0.25">
      <c r="A53" s="100" t="s">
        <v>261</v>
      </c>
      <c r="E53" s="101">
        <f>D51-D3</f>
        <v>358378.85934999981</v>
      </c>
      <c r="G53" s="97" t="s">
        <v>262</v>
      </c>
      <c r="H53" s="97">
        <v>718</v>
      </c>
      <c r="J53" s="97" t="s">
        <v>263</v>
      </c>
      <c r="K53" s="97">
        <v>100</v>
      </c>
      <c r="M53" s="31" t="s">
        <v>264</v>
      </c>
      <c r="N53" s="97">
        <v>3671.58</v>
      </c>
    </row>
    <row r="54" spans="1:14" x14ac:dyDescent="0.25">
      <c r="G54" s="97" t="s">
        <v>265</v>
      </c>
      <c r="H54" s="97">
        <f>107.7+14.36</f>
        <v>122.06</v>
      </c>
      <c r="J54" s="97" t="s">
        <v>266</v>
      </c>
      <c r="K54" s="97">
        <v>100</v>
      </c>
      <c r="M54" s="31" t="s">
        <v>267</v>
      </c>
      <c r="N54" s="97">
        <v>200</v>
      </c>
    </row>
    <row r="55" spans="1:14" x14ac:dyDescent="0.25">
      <c r="G55" s="97" t="s">
        <v>268</v>
      </c>
      <c r="H55" s="97">
        <v>0</v>
      </c>
      <c r="M55" s="31" t="s">
        <v>269</v>
      </c>
      <c r="N55" s="97">
        <v>375</v>
      </c>
    </row>
    <row r="56" spans="1:14" x14ac:dyDescent="0.25">
      <c r="M56" s="31" t="s">
        <v>270</v>
      </c>
      <c r="N56" s="97">
        <v>3291.76</v>
      </c>
    </row>
    <row r="58" spans="1:14" x14ac:dyDescent="0.25">
      <c r="G58" s="107" t="s">
        <v>271</v>
      </c>
      <c r="H58" s="108">
        <f>SUM(H53:H57)</f>
        <v>840.06</v>
      </c>
      <c r="J58" s="107" t="s">
        <v>271</v>
      </c>
      <c r="K58" s="108">
        <f>SUM(K53:K57)</f>
        <v>200</v>
      </c>
      <c r="M58" s="107" t="s">
        <v>271</v>
      </c>
      <c r="N58" s="108">
        <f>SUM(N53:N57)</f>
        <v>7538.34</v>
      </c>
    </row>
    <row r="61" spans="1:14" x14ac:dyDescent="0.25">
      <c r="G61" s="213" t="s">
        <v>272</v>
      </c>
      <c r="H61" s="213"/>
      <c r="J61" s="213" t="s">
        <v>273</v>
      </c>
      <c r="K61" s="213"/>
    </row>
    <row r="62" spans="1:14" x14ac:dyDescent="0.25">
      <c r="G62" s="97" t="s">
        <v>274</v>
      </c>
      <c r="H62" s="97">
        <v>749</v>
      </c>
      <c r="J62" s="97" t="s">
        <v>275</v>
      </c>
      <c r="K62" s="97">
        <f>749*3</f>
        <v>2247</v>
      </c>
    </row>
    <row r="63" spans="1:14" x14ac:dyDescent="0.25">
      <c r="G63" s="97" t="s">
        <v>276</v>
      </c>
      <c r="H63" s="97">
        <v>749</v>
      </c>
    </row>
    <row r="64" spans="1:14" x14ac:dyDescent="0.25">
      <c r="G64" s="97" t="s">
        <v>277</v>
      </c>
      <c r="H64" s="97">
        <v>1382.94</v>
      </c>
    </row>
    <row r="65" spans="7:11" x14ac:dyDescent="0.25">
      <c r="G65" s="97" t="s">
        <v>278</v>
      </c>
      <c r="H65" s="97">
        <v>1282.32</v>
      </c>
    </row>
    <row r="67" spans="7:11" x14ac:dyDescent="0.25">
      <c r="G67" s="107" t="s">
        <v>271</v>
      </c>
      <c r="H67" s="108">
        <f>SUM(H61:H66)</f>
        <v>4163.26</v>
      </c>
      <c r="J67" s="107" t="s">
        <v>271</v>
      </c>
      <c r="K67" s="108">
        <f>SUM(K61:K66)</f>
        <v>2247</v>
      </c>
    </row>
  </sheetData>
  <sortState xmlns:xlrd2="http://schemas.microsoft.com/office/spreadsheetml/2017/richdata2" ref="A31:B49">
    <sortCondition ref="A31:A49"/>
  </sortState>
  <mergeCells count="5">
    <mergeCell ref="G52:H52"/>
    <mergeCell ref="J52:K52"/>
    <mergeCell ref="M52:N52"/>
    <mergeCell ref="G61:H61"/>
    <mergeCell ref="J61:K61"/>
  </mergeCells>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317B25-B4CE-4993-83BE-E890E253B1EB}">
  <sheetPr>
    <pageSetUpPr fitToPage="1"/>
  </sheetPr>
  <dimension ref="A1:H124"/>
  <sheetViews>
    <sheetView zoomScale="130" zoomScaleNormal="130" workbookViewId="0">
      <selection activeCell="I12" sqref="I12"/>
    </sheetView>
  </sheetViews>
  <sheetFormatPr defaultColWidth="8.88671875" defaultRowHeight="13.8" x14ac:dyDescent="0.25"/>
  <cols>
    <col min="1" max="1" width="60.44140625" style="34" bestFit="1" customWidth="1"/>
    <col min="2" max="2" width="16.44140625" style="35" bestFit="1" customWidth="1"/>
    <col min="3" max="3" width="3.5546875" style="34" customWidth="1"/>
    <col min="4" max="4" width="67.44140625" style="34" bestFit="1" customWidth="1"/>
    <col min="5" max="5" width="16.44140625" style="35" bestFit="1" customWidth="1"/>
    <col min="6" max="6" width="8.88671875" style="34"/>
    <col min="7" max="7" width="12.88671875" style="35" bestFit="1" customWidth="1"/>
    <col min="8" max="16384" width="8.88671875" style="34"/>
  </cols>
  <sheetData>
    <row r="1" spans="1:8" s="46" customFormat="1" ht="25.2" x14ac:dyDescent="0.4">
      <c r="A1" s="215" t="s">
        <v>0</v>
      </c>
      <c r="B1" s="215"/>
      <c r="C1" s="215"/>
      <c r="D1" s="215"/>
      <c r="E1" s="215"/>
      <c r="G1" s="56"/>
    </row>
    <row r="2" spans="1:8" s="31" customFormat="1" ht="15" x14ac:dyDescent="0.25">
      <c r="A2" s="53" t="s">
        <v>81</v>
      </c>
      <c r="B2" s="54" t="s">
        <v>82</v>
      </c>
      <c r="C2" s="30"/>
      <c r="D2" s="53" t="s">
        <v>162</v>
      </c>
      <c r="E2" s="54" t="s">
        <v>82</v>
      </c>
      <c r="G2" s="57"/>
    </row>
    <row r="3" spans="1:8" s="50" customFormat="1" ht="15" x14ac:dyDescent="0.25">
      <c r="A3" s="47" t="s">
        <v>88</v>
      </c>
      <c r="B3" s="48"/>
      <c r="C3" s="49"/>
      <c r="D3" s="50" t="s">
        <v>163</v>
      </c>
      <c r="E3" s="51"/>
      <c r="G3" s="51"/>
    </row>
    <row r="4" spans="1:8" x14ac:dyDescent="0.25">
      <c r="A4" s="40" t="s">
        <v>54</v>
      </c>
      <c r="B4" s="41">
        <f>'2024 Details'!B3</f>
        <v>456</v>
      </c>
      <c r="C4" s="33"/>
      <c r="D4" s="34" t="str">
        <f>'2024 Details'!A95</f>
        <v xml:space="preserve">Early Bird $749 </v>
      </c>
      <c r="E4" s="35">
        <f>'2024 Details'!B95</f>
        <v>316078</v>
      </c>
    </row>
    <row r="5" spans="1:8" x14ac:dyDescent="0.25">
      <c r="A5" s="40" t="s">
        <v>89</v>
      </c>
      <c r="B5" s="41">
        <f>'2024 Details'!B4</f>
        <v>160</v>
      </c>
      <c r="C5" s="33"/>
      <c r="D5" s="34" t="str">
        <f>'2024 Details'!A96</f>
        <v>Regular Price from 03/25/2024 through 07/08/2024 $849</v>
      </c>
      <c r="E5" s="35">
        <f>'2024 Details'!B96</f>
        <v>184233</v>
      </c>
    </row>
    <row r="6" spans="1:8" x14ac:dyDescent="0.25">
      <c r="A6" s="40" t="s">
        <v>90</v>
      </c>
      <c r="B6" s="41">
        <f>'2024 Details'!B5</f>
        <v>830</v>
      </c>
      <c r="C6" s="33"/>
      <c r="D6" s="34" t="str">
        <f>'2024 Details'!A97</f>
        <v>Attending Presenters $749</v>
      </c>
      <c r="E6" s="35">
        <f>'2024 Details'!B97</f>
        <v>27713</v>
      </c>
    </row>
    <row r="7" spans="1:8" x14ac:dyDescent="0.25">
      <c r="A7" s="40" t="s">
        <v>91</v>
      </c>
      <c r="B7" s="41">
        <f>'2024 Details'!B6</f>
        <v>4350</v>
      </c>
      <c r="C7" s="33"/>
      <c r="D7" s="34" t="str">
        <f>'2024 Details'!A98</f>
        <v>SAP Providers</v>
      </c>
      <c r="E7" s="35">
        <f>'2024 Details'!B98</f>
        <v>0</v>
      </c>
    </row>
    <row r="8" spans="1:8" x14ac:dyDescent="0.25">
      <c r="A8" s="40" t="s">
        <v>92</v>
      </c>
      <c r="B8" s="41">
        <f>'2024 Details'!B7</f>
        <v>20000</v>
      </c>
      <c r="C8" s="33"/>
      <c r="D8" s="34" t="str">
        <f>'2024 Details'!A99</f>
        <v xml:space="preserve">Pre-Conference $149 </v>
      </c>
      <c r="E8" s="35">
        <f>'2024 Details'!B99</f>
        <v>21605</v>
      </c>
    </row>
    <row r="9" spans="1:8" x14ac:dyDescent="0.25">
      <c r="A9" s="40" t="s">
        <v>279</v>
      </c>
      <c r="B9" s="41">
        <f>'2024 Details'!B8</f>
        <v>5000</v>
      </c>
      <c r="C9" s="33"/>
      <c r="D9" s="34">
        <f>'2024 Details'!A100</f>
        <v>0</v>
      </c>
      <c r="E9" s="35">
        <f>'2024 Details'!B100</f>
        <v>0</v>
      </c>
    </row>
    <row r="10" spans="1:8" x14ac:dyDescent="0.25">
      <c r="A10" s="40" t="s">
        <v>280</v>
      </c>
      <c r="B10" s="41" t="e">
        <f>'2024 Details'!#REF!</f>
        <v>#REF!</v>
      </c>
      <c r="C10" s="33"/>
    </row>
    <row r="11" spans="1:8" x14ac:dyDescent="0.25">
      <c r="A11" s="40" t="s">
        <v>94</v>
      </c>
      <c r="B11" s="41">
        <f>'2024 Details'!B9</f>
        <v>5000</v>
      </c>
      <c r="C11" s="33"/>
    </row>
    <row r="12" spans="1:8" x14ac:dyDescent="0.25">
      <c r="A12" s="40" t="s">
        <v>281</v>
      </c>
      <c r="B12" s="41">
        <f>'2024 Details'!B10</f>
        <v>3500</v>
      </c>
      <c r="C12" s="33"/>
    </row>
    <row r="13" spans="1:8" ht="15" x14ac:dyDescent="0.25">
      <c r="A13" s="47" t="s">
        <v>97</v>
      </c>
      <c r="B13" s="37"/>
      <c r="C13" s="33"/>
      <c r="D13" s="50" t="s">
        <v>174</v>
      </c>
    </row>
    <row r="14" spans="1:8" x14ac:dyDescent="0.25">
      <c r="A14" s="40" t="s">
        <v>282</v>
      </c>
      <c r="B14" s="41">
        <f>'2024 Details'!B14</f>
        <v>18545.32</v>
      </c>
      <c r="C14" s="33"/>
      <c r="D14" s="34" t="str">
        <f>'2024 Details'!A102</f>
        <v>CalHope-Wellness Room</v>
      </c>
      <c r="E14" s="35">
        <f>'2024 Details'!B102</f>
        <v>15000</v>
      </c>
    </row>
    <row r="15" spans="1:8" x14ac:dyDescent="0.25">
      <c r="A15" s="40" t="s">
        <v>99</v>
      </c>
      <c r="B15" s="41">
        <f>'2024 Details'!B15</f>
        <v>3000</v>
      </c>
      <c r="C15" s="33"/>
      <c r="D15" s="34" t="str">
        <f>'2024 Details'!A103</f>
        <v>Exhibitors</v>
      </c>
      <c r="E15" s="35">
        <f>'2024 Details'!B103</f>
        <v>9500</v>
      </c>
    </row>
    <row r="16" spans="1:8" s="32" customFormat="1" x14ac:dyDescent="0.25">
      <c r="A16" s="40" t="s">
        <v>100</v>
      </c>
      <c r="B16" s="41">
        <f>'2024 Details'!B16</f>
        <v>3650</v>
      </c>
      <c r="C16" s="38"/>
      <c r="D16" s="34" t="str">
        <f>'2024 Details'!A104</f>
        <v>Inland Empire Heath Plan</v>
      </c>
      <c r="E16" s="35">
        <f>'2024 Details'!B104</f>
        <v>20000</v>
      </c>
      <c r="G16" s="39"/>
    </row>
    <row r="17" spans="1:7" x14ac:dyDescent="0.25">
      <c r="A17" s="40" t="s">
        <v>102</v>
      </c>
      <c r="B17" s="41">
        <f>'2024 Details'!B18</f>
        <v>3750</v>
      </c>
      <c r="C17" s="33"/>
      <c r="D17" s="34" t="str">
        <f>'2024 Details'!A105</f>
        <v>Inland Empire Heath Plan (Sponsorhip of Tote Bags)</v>
      </c>
      <c r="E17" s="35">
        <f>'2024 Details'!B105</f>
        <v>3500</v>
      </c>
    </row>
    <row r="18" spans="1:7" x14ac:dyDescent="0.25">
      <c r="A18" s="79" t="s">
        <v>283</v>
      </c>
      <c r="B18" s="41"/>
      <c r="C18" s="33"/>
      <c r="D18" s="34" t="str">
        <f>'2024 Details'!A106</f>
        <v>Molina Healthcare</v>
      </c>
      <c r="E18" s="35">
        <f>'2024 Details'!B106</f>
        <v>5000</v>
      </c>
    </row>
    <row r="19" spans="1:7" x14ac:dyDescent="0.25">
      <c r="A19" s="40" t="s">
        <v>13</v>
      </c>
      <c r="B19" s="41">
        <f>'2024 Details'!B20</f>
        <v>2500</v>
      </c>
      <c r="C19" s="33"/>
      <c r="D19" s="34" t="str">
        <f>'2024 Details'!A107</f>
        <v>Riverside County Office of Education (RCOE)</v>
      </c>
      <c r="E19" s="35">
        <f>'2024 Details'!B107</f>
        <v>10000</v>
      </c>
    </row>
    <row r="20" spans="1:7" s="32" customFormat="1" x14ac:dyDescent="0.25">
      <c r="A20" s="40" t="s">
        <v>104</v>
      </c>
      <c r="B20" s="41">
        <f>'2024 Details'!B21</f>
        <v>35081</v>
      </c>
      <c r="C20" s="38"/>
      <c r="D20" s="34" t="str">
        <f>'2024 Details'!A108</f>
        <v>San Bernardino County Dept of Behavioral Health</v>
      </c>
      <c r="E20" s="35">
        <f>'2024 Details'!B108</f>
        <v>150000</v>
      </c>
      <c r="G20" s="39"/>
    </row>
    <row r="21" spans="1:7" x14ac:dyDescent="0.25">
      <c r="A21" s="40" t="s">
        <v>284</v>
      </c>
      <c r="B21" s="41">
        <f>'2024 Details'!B23</f>
        <v>200</v>
      </c>
      <c r="C21" s="33"/>
      <c r="D21" s="34" t="str">
        <f>'2024 Details'!A109</f>
        <v>SBCSS - Children Deserve Success</v>
      </c>
      <c r="E21" s="35">
        <f>'2024 Details'!B109</f>
        <v>15000</v>
      </c>
    </row>
    <row r="22" spans="1:7" ht="15" x14ac:dyDescent="0.25">
      <c r="A22" s="47" t="s">
        <v>107</v>
      </c>
      <c r="B22" s="37"/>
      <c r="C22" s="33"/>
      <c r="D22" s="34" t="str">
        <f>'2024 Details'!A111</f>
        <v>SBCSS - Children Deserve Success - Student Voice</v>
      </c>
      <c r="E22" s="35">
        <f>'2024 Details'!B111</f>
        <v>700</v>
      </c>
    </row>
    <row r="23" spans="1:7" x14ac:dyDescent="0.25">
      <c r="A23" s="40" t="s">
        <v>14</v>
      </c>
      <c r="B23" s="41">
        <f>'2024 Details'!B25</f>
        <v>500</v>
      </c>
      <c r="C23" s="33"/>
      <c r="D23" s="34" t="str">
        <f>'2024 Details'!A113</f>
        <v>SBCSS - Superintendents Office</v>
      </c>
      <c r="E23" s="35">
        <f>'2024 Details'!B113</f>
        <v>35081</v>
      </c>
    </row>
    <row r="24" spans="1:7" x14ac:dyDescent="0.25">
      <c r="A24" s="40" t="s">
        <v>22</v>
      </c>
      <c r="B24" s="41">
        <f>'2024 Details'!B26</f>
        <v>2000</v>
      </c>
      <c r="C24" s="33"/>
      <c r="D24" s="34" t="str">
        <f>'2024 Details'!A114</f>
        <v>TUPE - Prop 56 Mgmt 0428</v>
      </c>
      <c r="E24" s="35">
        <f>'2024 Details'!B114</f>
        <v>36444</v>
      </c>
    </row>
    <row r="25" spans="1:7" ht="15" x14ac:dyDescent="0.25">
      <c r="A25" s="47" t="s">
        <v>108</v>
      </c>
      <c r="B25" s="37"/>
      <c r="C25" s="33"/>
      <c r="D25" s="34" t="str">
        <f>'2024 Details'!A116</f>
        <v>Workforce Development Round 2</v>
      </c>
      <c r="E25" s="35">
        <f>'2024 Details'!B116</f>
        <v>7500</v>
      </c>
      <c r="G25" s="58"/>
    </row>
    <row r="26" spans="1:7" s="32" customFormat="1" x14ac:dyDescent="0.25">
      <c r="A26" s="40" t="s">
        <v>285</v>
      </c>
      <c r="B26" s="41" t="e">
        <f>'2024 Details'!#REF!</f>
        <v>#REF!</v>
      </c>
      <c r="C26" s="38"/>
      <c r="D26" s="34" t="str">
        <f>'2024 Details'!A117</f>
        <v>Total</v>
      </c>
      <c r="E26" s="35">
        <f>'2024 Details'!B117</f>
        <v>355927</v>
      </c>
      <c r="G26" s="39"/>
    </row>
    <row r="27" spans="1:7" x14ac:dyDescent="0.25">
      <c r="A27" s="40" t="s">
        <v>286</v>
      </c>
      <c r="B27" s="41">
        <f>'2024 Details'!B28</f>
        <v>186000</v>
      </c>
      <c r="C27" s="33"/>
    </row>
    <row r="28" spans="1:7" x14ac:dyDescent="0.25">
      <c r="A28" s="40" t="s">
        <v>110</v>
      </c>
      <c r="B28" s="41">
        <f>'2024 Details'!B29</f>
        <v>2500</v>
      </c>
      <c r="C28" s="33"/>
    </row>
    <row r="29" spans="1:7" x14ac:dyDescent="0.25">
      <c r="A29" s="40" t="s">
        <v>111</v>
      </c>
      <c r="B29" s="41">
        <f>'2024 Details'!B30</f>
        <v>5000</v>
      </c>
      <c r="C29" s="33"/>
    </row>
    <row r="30" spans="1:7" ht="15" x14ac:dyDescent="0.25">
      <c r="A30" s="47" t="s">
        <v>112</v>
      </c>
      <c r="B30" s="37"/>
      <c r="C30" s="33"/>
    </row>
    <row r="31" spans="1:7" x14ac:dyDescent="0.25">
      <c r="A31" s="40" t="e">
        <f>'2024 Details'!#REF!</f>
        <v>#REF!</v>
      </c>
      <c r="B31" s="41" t="e">
        <f>'2024 Details'!#REF!</f>
        <v>#REF!</v>
      </c>
      <c r="C31" s="33"/>
    </row>
    <row r="32" spans="1:7" x14ac:dyDescent="0.25">
      <c r="A32" s="40" t="str">
        <f>'2024 Details'!A32</f>
        <v>Disneyland Décor - Booth, stools, decals, inlays, balloons</v>
      </c>
      <c r="B32" s="41">
        <f>'2024 Details'!B32</f>
        <v>31000</v>
      </c>
      <c r="C32" s="33"/>
      <c r="D32" s="32"/>
    </row>
    <row r="33" spans="1:7" x14ac:dyDescent="0.25">
      <c r="A33" s="40" t="str">
        <f>'2024 Details'!A33</f>
        <v>Centerpieces</v>
      </c>
      <c r="B33" s="41">
        <f>'2024 Details'!B33</f>
        <v>4795.88</v>
      </c>
      <c r="C33" s="33"/>
      <c r="D33" s="32"/>
    </row>
    <row r="34" spans="1:7" x14ac:dyDescent="0.25">
      <c r="A34" s="40" t="str">
        <f>'2024 Details'!A34</f>
        <v>Staff Room &amp; Green Room snacks</v>
      </c>
      <c r="B34" s="41">
        <f>'2024 Details'!B34</f>
        <v>500</v>
      </c>
      <c r="C34" s="33"/>
      <c r="D34" s="32"/>
    </row>
    <row r="35" spans="1:7" x14ac:dyDescent="0.25">
      <c r="A35" s="40" t="e">
        <f>'2024 Details'!#REF!</f>
        <v>#REF!</v>
      </c>
      <c r="B35" s="41" t="e">
        <f>'2024 Details'!#REF!</f>
        <v>#REF!</v>
      </c>
      <c r="C35" s="33"/>
      <c r="D35" s="32"/>
    </row>
    <row r="36" spans="1:7" x14ac:dyDescent="0.25">
      <c r="A36" s="40" t="str">
        <f>'2024 Details'!A35</f>
        <v>Hospitality Decorations</v>
      </c>
      <c r="B36" s="41">
        <f>'2024 Details'!B35</f>
        <v>0</v>
      </c>
      <c r="C36" s="33"/>
      <c r="D36" s="32"/>
    </row>
    <row r="37" spans="1:7" x14ac:dyDescent="0.25">
      <c r="A37" s="40" t="str">
        <f>'2024 Details'!A36</f>
        <v>Power Outlet / Power Strips - Center Lounge</v>
      </c>
      <c r="B37" s="41">
        <f>'2024 Details'!B36</f>
        <v>0</v>
      </c>
      <c r="C37" s="33"/>
    </row>
    <row r="38" spans="1:7" s="32" customFormat="1" ht="15" x14ac:dyDescent="0.25">
      <c r="A38" s="47" t="s">
        <v>119</v>
      </c>
      <c r="B38" s="37"/>
      <c r="C38" s="38"/>
      <c r="D38" s="34"/>
      <c r="E38" s="39"/>
      <c r="G38" s="39"/>
    </row>
    <row r="39" spans="1:7" x14ac:dyDescent="0.25">
      <c r="A39" s="40" t="s">
        <v>287</v>
      </c>
      <c r="B39" s="37"/>
      <c r="C39" s="33"/>
    </row>
    <row r="40" spans="1:7" x14ac:dyDescent="0.25">
      <c r="A40" s="40" t="s">
        <v>39</v>
      </c>
      <c r="B40" s="41">
        <f>'2024 Details'!B40</f>
        <v>500</v>
      </c>
      <c r="C40" s="33"/>
    </row>
    <row r="41" spans="1:7" x14ac:dyDescent="0.25">
      <c r="A41" s="40" t="s">
        <v>288</v>
      </c>
      <c r="B41" s="41">
        <f>'2024 Details'!B41</f>
        <v>4176.8999999999996</v>
      </c>
      <c r="C41" s="33"/>
    </row>
    <row r="42" spans="1:7" s="32" customFormat="1" x14ac:dyDescent="0.25">
      <c r="A42" s="40" t="s">
        <v>289</v>
      </c>
      <c r="B42" s="41">
        <f>'2024 Details'!B42</f>
        <v>4756.7700000000004</v>
      </c>
      <c r="C42" s="38"/>
      <c r="D42" s="34"/>
      <c r="E42" s="39"/>
      <c r="G42" s="39"/>
    </row>
    <row r="43" spans="1:7" x14ac:dyDescent="0.25">
      <c r="A43" s="40" t="s">
        <v>121</v>
      </c>
      <c r="B43" s="41">
        <f>'2024 Details'!B43</f>
        <v>15057</v>
      </c>
      <c r="C43" s="33"/>
    </row>
    <row r="44" spans="1:7" x14ac:dyDescent="0.25">
      <c r="A44" s="40" t="s">
        <v>290</v>
      </c>
      <c r="B44" s="41">
        <f>'2024 Details'!B44</f>
        <v>12924</v>
      </c>
      <c r="C44" s="33"/>
    </row>
    <row r="45" spans="1:7" x14ac:dyDescent="0.25">
      <c r="A45" s="40" t="s">
        <v>291</v>
      </c>
      <c r="B45" s="41">
        <f>'2024 Details'!B45</f>
        <v>0</v>
      </c>
      <c r="C45" s="33"/>
    </row>
    <row r="46" spans="1:7" ht="15" x14ac:dyDescent="0.25">
      <c r="A46" s="47" t="s">
        <v>129</v>
      </c>
      <c r="B46" s="37"/>
      <c r="C46" s="33"/>
    </row>
    <row r="47" spans="1:7" x14ac:dyDescent="0.25">
      <c r="A47" s="40" t="s">
        <v>14</v>
      </c>
      <c r="B47" s="41">
        <f>'2024 Details'!B51</f>
        <v>500</v>
      </c>
      <c r="C47" s="33"/>
    </row>
    <row r="48" spans="1:7" x14ac:dyDescent="0.25">
      <c r="A48" s="40" t="s">
        <v>130</v>
      </c>
      <c r="B48" s="41">
        <f>'2024 Details'!B52</f>
        <v>10560</v>
      </c>
      <c r="C48" s="33"/>
    </row>
    <row r="49" spans="1:7" s="32" customFormat="1" ht="15" x14ac:dyDescent="0.25">
      <c r="A49" s="47" t="s">
        <v>131</v>
      </c>
      <c r="B49" s="37"/>
      <c r="C49" s="38"/>
      <c r="E49" s="39"/>
      <c r="G49" s="39"/>
    </row>
    <row r="50" spans="1:7" s="32" customFormat="1" x14ac:dyDescent="0.25">
      <c r="A50" s="40" t="s">
        <v>14</v>
      </c>
      <c r="B50" s="41">
        <f>'2024 Details'!B54</f>
        <v>500</v>
      </c>
      <c r="C50" s="38"/>
      <c r="E50" s="39"/>
      <c r="G50" s="39"/>
    </row>
    <row r="51" spans="1:7" s="32" customFormat="1" x14ac:dyDescent="0.25">
      <c r="A51" s="40" t="s">
        <v>132</v>
      </c>
      <c r="B51" s="41">
        <f>'2024 Details'!B55</f>
        <v>7500</v>
      </c>
      <c r="C51" s="38"/>
      <c r="E51" s="39"/>
      <c r="G51" s="39"/>
    </row>
    <row r="52" spans="1:7" s="32" customFormat="1" x14ac:dyDescent="0.25">
      <c r="A52" s="40" t="s">
        <v>133</v>
      </c>
      <c r="B52" s="41">
        <f>'2024 Details'!B56</f>
        <v>15000</v>
      </c>
      <c r="C52" s="38"/>
      <c r="E52" s="39"/>
      <c r="G52" s="39"/>
    </row>
    <row r="53" spans="1:7" s="32" customFormat="1" x14ac:dyDescent="0.25">
      <c r="A53" s="40" t="s">
        <v>134</v>
      </c>
      <c r="B53" s="41">
        <f>'2024 Details'!B57</f>
        <v>15000</v>
      </c>
      <c r="C53" s="38"/>
      <c r="E53" s="39"/>
      <c r="G53" s="39"/>
    </row>
    <row r="54" spans="1:7" s="32" customFormat="1" ht="15" x14ac:dyDescent="0.25">
      <c r="A54" s="47" t="s">
        <v>135</v>
      </c>
      <c r="B54" s="37"/>
      <c r="C54" s="38"/>
      <c r="E54" s="39"/>
      <c r="G54" s="39"/>
    </row>
    <row r="55" spans="1:7" s="32" customFormat="1" x14ac:dyDescent="0.25">
      <c r="A55" s="40" t="s">
        <v>292</v>
      </c>
      <c r="B55" s="41">
        <f>'2024 Details'!B59</f>
        <v>3000</v>
      </c>
      <c r="C55" s="38"/>
      <c r="E55" s="39"/>
      <c r="G55" s="39"/>
    </row>
    <row r="56" spans="1:7" s="32" customFormat="1" x14ac:dyDescent="0.25">
      <c r="A56" s="40" t="s">
        <v>56</v>
      </c>
      <c r="B56" s="41">
        <f>'2024 Details'!B60</f>
        <v>1500</v>
      </c>
      <c r="C56" s="38"/>
      <c r="E56" s="39"/>
      <c r="G56" s="39"/>
    </row>
    <row r="57" spans="1:7" s="32" customFormat="1" x14ac:dyDescent="0.25">
      <c r="A57" s="40" t="s">
        <v>137</v>
      </c>
      <c r="B57" s="41">
        <f>'2024 Details'!B61</f>
        <v>48800</v>
      </c>
      <c r="C57" s="38"/>
      <c r="E57" s="39"/>
      <c r="G57" s="39"/>
    </row>
    <row r="58" spans="1:7" s="32" customFormat="1" x14ac:dyDescent="0.25">
      <c r="A58" s="40" t="s">
        <v>138</v>
      </c>
      <c r="B58" s="41">
        <f>'2024 Details'!B62</f>
        <v>106500</v>
      </c>
      <c r="C58" s="38"/>
      <c r="E58" s="39"/>
      <c r="G58" s="39"/>
    </row>
    <row r="59" spans="1:7" ht="15" x14ac:dyDescent="0.25">
      <c r="A59" s="47" t="s">
        <v>139</v>
      </c>
      <c r="B59" s="37"/>
      <c r="C59" s="33"/>
    </row>
    <row r="60" spans="1:7" x14ac:dyDescent="0.25">
      <c r="A60" s="40" t="s">
        <v>140</v>
      </c>
      <c r="B60" s="41">
        <f>'2024 Details'!B64</f>
        <v>2247</v>
      </c>
      <c r="C60" s="33"/>
    </row>
    <row r="61" spans="1:7" x14ac:dyDescent="0.25">
      <c r="A61" s="40" t="s">
        <v>14</v>
      </c>
      <c r="B61" s="41">
        <f>'2024 Details'!B65</f>
        <v>500</v>
      </c>
      <c r="C61" s="33"/>
    </row>
    <row r="62" spans="1:7" s="32" customFormat="1" x14ac:dyDescent="0.25">
      <c r="A62" s="40" t="s">
        <v>143</v>
      </c>
      <c r="B62" s="41">
        <f>'2024 Details'!B68</f>
        <v>2108.66</v>
      </c>
      <c r="C62" s="38"/>
      <c r="E62" s="39"/>
      <c r="G62" s="39"/>
    </row>
    <row r="63" spans="1:7" x14ac:dyDescent="0.25">
      <c r="A63" s="40" t="s">
        <v>144</v>
      </c>
      <c r="B63" s="41">
        <f>'2024 Details'!B69</f>
        <v>2500</v>
      </c>
      <c r="C63" s="33"/>
    </row>
    <row r="64" spans="1:7" x14ac:dyDescent="0.25">
      <c r="A64" s="40" t="s">
        <v>293</v>
      </c>
      <c r="B64" s="41">
        <f>'2024 Details'!B70</f>
        <v>2303.0100000000002</v>
      </c>
      <c r="C64" s="33"/>
    </row>
    <row r="65" spans="1:7" s="32" customFormat="1" ht="15" x14ac:dyDescent="0.25">
      <c r="A65" s="47" t="s">
        <v>146</v>
      </c>
      <c r="B65" s="37"/>
      <c r="C65" s="38"/>
      <c r="E65" s="39"/>
      <c r="G65" s="39"/>
    </row>
    <row r="66" spans="1:7" s="32" customFormat="1" x14ac:dyDescent="0.25">
      <c r="A66" s="40" t="str">
        <f>'2024 Details'!A72</f>
        <v>Student Performance - Rez Bird Life Bird Singers</v>
      </c>
      <c r="B66" s="41">
        <f>'2024 Details'!B72</f>
        <v>1000</v>
      </c>
      <c r="C66" s="38"/>
      <c r="E66" s="39"/>
      <c r="G66" s="39"/>
    </row>
    <row r="67" spans="1:7" s="32" customFormat="1" x14ac:dyDescent="0.25">
      <c r="A67" s="40" t="str">
        <f>'2024 Details'!A74</f>
        <v>Networking Appetizers</v>
      </c>
      <c r="B67" s="41">
        <f>'2024 Details'!B74</f>
        <v>15500</v>
      </c>
      <c r="C67" s="38"/>
      <c r="E67" s="39"/>
      <c r="G67" s="39"/>
    </row>
    <row r="68" spans="1:7" ht="15" x14ac:dyDescent="0.25">
      <c r="A68" s="47" t="s">
        <v>150</v>
      </c>
      <c r="B68" s="37"/>
      <c r="C68" s="33"/>
    </row>
    <row r="69" spans="1:7" x14ac:dyDescent="0.25">
      <c r="A69" s="40" t="str">
        <f>'2024 Details'!A76</f>
        <v>Standing Board - Digital Art Posters from Telios</v>
      </c>
      <c r="B69" s="41">
        <f>'2024 Details'!B76</f>
        <v>700</v>
      </c>
      <c r="C69" s="33"/>
    </row>
    <row r="70" spans="1:7" ht="15" x14ac:dyDescent="0.25">
      <c r="A70" s="47" t="s">
        <v>152</v>
      </c>
      <c r="B70" s="37"/>
      <c r="C70" s="33"/>
    </row>
    <row r="71" spans="1:7" x14ac:dyDescent="0.25">
      <c r="A71" s="40" t="s">
        <v>153</v>
      </c>
      <c r="B71" s="41">
        <f>'2024 Details'!B78</f>
        <v>5000</v>
      </c>
      <c r="C71" s="33"/>
    </row>
    <row r="72" spans="1:7" x14ac:dyDescent="0.25">
      <c r="A72" s="40" t="s">
        <v>154</v>
      </c>
      <c r="B72" s="41">
        <f>'2024 Details'!B79</f>
        <v>10000</v>
      </c>
      <c r="C72" s="33"/>
    </row>
    <row r="73" spans="1:7" x14ac:dyDescent="0.25">
      <c r="A73" s="40"/>
      <c r="B73" s="41"/>
      <c r="C73" s="33"/>
    </row>
    <row r="74" spans="1:7" ht="15" x14ac:dyDescent="0.25">
      <c r="A74" s="47" t="s">
        <v>294</v>
      </c>
      <c r="B74" s="41"/>
      <c r="C74" s="33"/>
    </row>
    <row r="75" spans="1:7" x14ac:dyDescent="0.25">
      <c r="A75" s="40" t="s">
        <v>157</v>
      </c>
      <c r="B75" s="41">
        <f>'2024 Details'!B83</f>
        <v>0</v>
      </c>
      <c r="C75" s="33"/>
    </row>
    <row r="76" spans="1:7" x14ac:dyDescent="0.25">
      <c r="A76" s="40"/>
      <c r="B76" s="41"/>
      <c r="C76" s="33"/>
    </row>
    <row r="77" spans="1:7" ht="15" x14ac:dyDescent="0.25">
      <c r="A77" s="47" t="s">
        <v>158</v>
      </c>
      <c r="B77" s="41" t="e">
        <f>SUM(B3:B75)</f>
        <v>#REF!</v>
      </c>
      <c r="C77" s="33"/>
    </row>
    <row r="78" spans="1:7" ht="15" x14ac:dyDescent="0.25">
      <c r="A78" s="47" t="s">
        <v>159</v>
      </c>
      <c r="B78" s="44"/>
      <c r="C78" s="33"/>
      <c r="D78" s="32"/>
    </row>
    <row r="79" spans="1:7" x14ac:dyDescent="0.25">
      <c r="A79" s="42">
        <v>8.5000000000000006E-2</v>
      </c>
      <c r="B79" s="41" t="e">
        <f>B77*A79</f>
        <v>#REF!</v>
      </c>
      <c r="C79" s="33"/>
    </row>
    <row r="80" spans="1:7" s="31" customFormat="1" ht="15" x14ac:dyDescent="0.25">
      <c r="A80" s="42"/>
      <c r="B80" s="41"/>
      <c r="C80" s="52"/>
      <c r="G80" s="57"/>
    </row>
    <row r="81" spans="1:3" ht="15" x14ac:dyDescent="0.25">
      <c r="A81" s="47" t="s">
        <v>160</v>
      </c>
      <c r="B81" s="48" t="e">
        <f>SUM(B77:B79)</f>
        <v>#REF!</v>
      </c>
      <c r="C81" s="33"/>
    </row>
    <row r="82" spans="1:3" ht="15" x14ac:dyDescent="0.25">
      <c r="A82" s="50" t="s">
        <v>199</v>
      </c>
      <c r="B82" s="59">
        <f>SUM(E4:E25)</f>
        <v>857354</v>
      </c>
      <c r="C82" s="33"/>
    </row>
    <row r="83" spans="1:3" x14ac:dyDescent="0.25">
      <c r="A83" s="33"/>
      <c r="B83" s="60" t="e">
        <f>B82-B81</f>
        <v>#REF!</v>
      </c>
      <c r="C83" s="33"/>
    </row>
    <row r="84" spans="1:3" x14ac:dyDescent="0.25">
      <c r="A84" s="33"/>
      <c r="B84" s="36"/>
      <c r="C84" s="33"/>
    </row>
    <row r="85" spans="1:3" x14ac:dyDescent="0.25">
      <c r="A85" s="33"/>
      <c r="B85" s="36"/>
      <c r="C85" s="33"/>
    </row>
    <row r="86" spans="1:3" x14ac:dyDescent="0.25">
      <c r="A86" s="33"/>
      <c r="B86" s="36"/>
      <c r="C86" s="33"/>
    </row>
    <row r="87" spans="1:3" x14ac:dyDescent="0.25">
      <c r="A87" s="33"/>
      <c r="B87" s="36"/>
    </row>
    <row r="88" spans="1:3" x14ac:dyDescent="0.25">
      <c r="A88" s="33"/>
      <c r="B88" s="36"/>
    </row>
    <row r="89" spans="1:3" x14ac:dyDescent="0.25">
      <c r="A89" s="33"/>
      <c r="B89" s="36"/>
    </row>
    <row r="90" spans="1:3" x14ac:dyDescent="0.25">
      <c r="A90" s="33"/>
      <c r="B90" s="36"/>
    </row>
    <row r="91" spans="1:3" x14ac:dyDescent="0.25">
      <c r="A91" s="33"/>
      <c r="B91" s="36"/>
    </row>
    <row r="92" spans="1:3" x14ac:dyDescent="0.25">
      <c r="A92" s="33"/>
      <c r="B92" s="36"/>
    </row>
    <row r="93" spans="1:3" x14ac:dyDescent="0.25">
      <c r="A93" s="33"/>
      <c r="B93" s="36"/>
    </row>
    <row r="94" spans="1:3" x14ac:dyDescent="0.25">
      <c r="A94" s="33"/>
      <c r="B94" s="36"/>
    </row>
    <row r="95" spans="1:3" x14ac:dyDescent="0.25">
      <c r="A95" s="33"/>
      <c r="B95" s="36"/>
    </row>
    <row r="96" spans="1:3" x14ac:dyDescent="0.25">
      <c r="A96" s="33"/>
      <c r="B96" s="36"/>
    </row>
    <row r="97" spans="1:2" x14ac:dyDescent="0.25">
      <c r="A97" s="33"/>
      <c r="B97" s="36"/>
    </row>
    <row r="98" spans="1:2" x14ac:dyDescent="0.25">
      <c r="A98" s="33"/>
      <c r="B98" s="36"/>
    </row>
    <row r="99" spans="1:2" x14ac:dyDescent="0.25">
      <c r="A99" s="33"/>
      <c r="B99" s="36"/>
    </row>
    <row r="100" spans="1:2" x14ac:dyDescent="0.25">
      <c r="A100" s="33"/>
      <c r="B100" s="36"/>
    </row>
    <row r="101" spans="1:2" x14ac:dyDescent="0.25">
      <c r="A101" s="33"/>
      <c r="B101" s="36"/>
    </row>
    <row r="102" spans="1:2" x14ac:dyDescent="0.25">
      <c r="A102" s="33"/>
      <c r="B102" s="36"/>
    </row>
    <row r="103" spans="1:2" x14ac:dyDescent="0.25">
      <c r="A103" s="33"/>
      <c r="B103" s="36"/>
    </row>
    <row r="104" spans="1:2" x14ac:dyDescent="0.25">
      <c r="A104" s="33"/>
      <c r="B104" s="36"/>
    </row>
    <row r="105" spans="1:2" x14ac:dyDescent="0.25">
      <c r="A105" s="33"/>
      <c r="B105" s="36"/>
    </row>
    <row r="106" spans="1:2" x14ac:dyDescent="0.25">
      <c r="A106" s="33"/>
      <c r="B106" s="36"/>
    </row>
    <row r="107" spans="1:2" x14ac:dyDescent="0.25">
      <c r="A107" s="33"/>
      <c r="B107" s="36"/>
    </row>
    <row r="108" spans="1:2" x14ac:dyDescent="0.25">
      <c r="A108" s="33"/>
      <c r="B108" s="36"/>
    </row>
    <row r="109" spans="1:2" x14ac:dyDescent="0.25">
      <c r="A109" s="33"/>
      <c r="B109" s="36"/>
    </row>
    <row r="110" spans="1:2" x14ac:dyDescent="0.25">
      <c r="A110" s="33"/>
      <c r="B110" s="36"/>
    </row>
    <row r="111" spans="1:2" x14ac:dyDescent="0.25">
      <c r="A111" s="33"/>
      <c r="B111" s="36"/>
    </row>
    <row r="112" spans="1:2" x14ac:dyDescent="0.25">
      <c r="A112" s="33"/>
      <c r="B112" s="36"/>
    </row>
    <row r="113" spans="1:2" x14ac:dyDescent="0.25">
      <c r="A113" s="33"/>
      <c r="B113" s="36"/>
    </row>
    <row r="114" spans="1:2" x14ac:dyDescent="0.25">
      <c r="A114" s="33"/>
      <c r="B114" s="36"/>
    </row>
    <row r="115" spans="1:2" x14ac:dyDescent="0.25">
      <c r="A115" s="33"/>
      <c r="B115" s="36"/>
    </row>
    <row r="116" spans="1:2" x14ac:dyDescent="0.25">
      <c r="A116" s="33"/>
      <c r="B116" s="36"/>
    </row>
    <row r="117" spans="1:2" x14ac:dyDescent="0.25">
      <c r="A117" s="33"/>
      <c r="B117" s="36"/>
    </row>
    <row r="118" spans="1:2" x14ac:dyDescent="0.25">
      <c r="A118" s="33"/>
      <c r="B118" s="36"/>
    </row>
    <row r="119" spans="1:2" x14ac:dyDescent="0.25">
      <c r="A119" s="33"/>
      <c r="B119" s="36"/>
    </row>
    <row r="120" spans="1:2" x14ac:dyDescent="0.25">
      <c r="A120" s="33"/>
      <c r="B120" s="36"/>
    </row>
    <row r="121" spans="1:2" x14ac:dyDescent="0.25">
      <c r="A121" s="33"/>
      <c r="B121" s="36"/>
    </row>
    <row r="122" spans="1:2" x14ac:dyDescent="0.25">
      <c r="A122" s="33"/>
      <c r="B122" s="36"/>
    </row>
    <row r="123" spans="1:2" x14ac:dyDescent="0.25">
      <c r="A123" s="33"/>
      <c r="B123" s="36"/>
    </row>
    <row r="124" spans="1:2" x14ac:dyDescent="0.25">
      <c r="A124" s="33"/>
      <c r="B124" s="36"/>
    </row>
  </sheetData>
  <sortState xmlns:xlrd2="http://schemas.microsoft.com/office/spreadsheetml/2017/richdata2" ref="D14:E18">
    <sortCondition ref="D14:D18"/>
  </sortState>
  <mergeCells count="1">
    <mergeCell ref="A1:E1"/>
  </mergeCells>
  <printOptions horizontalCentered="1" verticalCentered="1"/>
  <pageMargins left="0.25" right="0.25" top="0.44" bottom="0.41" header="0.3" footer="0.27"/>
  <pageSetup scale="67" fitToHeight="0"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AF7FA7-7BF7-4E4D-B36C-1134F08D4C54}">
  <sheetPr>
    <pageSetUpPr fitToPage="1"/>
  </sheetPr>
  <dimension ref="A1:E151"/>
  <sheetViews>
    <sheetView zoomScale="120" zoomScaleNormal="120" workbookViewId="0">
      <selection activeCell="B2" sqref="B2"/>
    </sheetView>
  </sheetViews>
  <sheetFormatPr defaultColWidth="8.88671875" defaultRowHeight="13.8" x14ac:dyDescent="0.25"/>
  <cols>
    <col min="1" max="1" width="66.44140625" style="34" bestFit="1" customWidth="1"/>
    <col min="2" max="2" width="17.44140625" style="123" customWidth="1"/>
    <col min="3" max="3" width="16.5546875" style="35" bestFit="1" customWidth="1"/>
    <col min="4" max="4" width="16.88671875" style="35" bestFit="1" customWidth="1"/>
    <col min="5" max="16384" width="8.88671875" style="34"/>
  </cols>
  <sheetData>
    <row r="1" spans="1:4" s="46" customFormat="1" ht="25.2" x14ac:dyDescent="0.4">
      <c r="A1" s="215" t="s">
        <v>295</v>
      </c>
      <c r="B1" s="215"/>
      <c r="C1" s="215"/>
      <c r="D1" s="215"/>
    </row>
    <row r="2" spans="1:4" s="31" customFormat="1" ht="15" x14ac:dyDescent="0.25">
      <c r="A2" s="53" t="s">
        <v>81</v>
      </c>
      <c r="B2" s="116" t="s">
        <v>296</v>
      </c>
      <c r="C2" s="54" t="s">
        <v>297</v>
      </c>
      <c r="D2" s="54" t="s">
        <v>298</v>
      </c>
    </row>
    <row r="3" spans="1:4" s="50" customFormat="1" ht="15" x14ac:dyDescent="0.25">
      <c r="A3" s="62" t="s">
        <v>88</v>
      </c>
      <c r="B3" s="117"/>
      <c r="C3" s="63"/>
      <c r="D3" s="110"/>
    </row>
    <row r="4" spans="1:4" x14ac:dyDescent="0.25">
      <c r="A4" s="40" t="s">
        <v>54</v>
      </c>
      <c r="B4" s="118">
        <v>480</v>
      </c>
      <c r="C4" s="41">
        <f>'2024 Details'!B3</f>
        <v>456</v>
      </c>
      <c r="D4" s="35">
        <v>0</v>
      </c>
    </row>
    <row r="5" spans="1:4" x14ac:dyDescent="0.25">
      <c r="A5" s="40" t="s">
        <v>89</v>
      </c>
      <c r="B5" s="118">
        <v>275</v>
      </c>
      <c r="C5" s="41">
        <v>250.52</v>
      </c>
      <c r="D5" s="35">
        <v>0</v>
      </c>
    </row>
    <row r="6" spans="1:4" x14ac:dyDescent="0.25">
      <c r="A6" s="40" t="s">
        <v>90</v>
      </c>
      <c r="B6" s="118">
        <v>830</v>
      </c>
      <c r="C6" s="41">
        <v>960</v>
      </c>
      <c r="D6" s="35">
        <v>0</v>
      </c>
    </row>
    <row r="7" spans="1:4" x14ac:dyDescent="0.25">
      <c r="A7" s="40" t="s">
        <v>91</v>
      </c>
      <c r="B7" s="118">
        <v>7750</v>
      </c>
      <c r="C7" s="41">
        <v>5164.54</v>
      </c>
      <c r="D7" s="35">
        <v>2243</v>
      </c>
    </row>
    <row r="8" spans="1:4" x14ac:dyDescent="0.25">
      <c r="A8" s="40" t="s">
        <v>92</v>
      </c>
      <c r="B8" s="118">
        <v>22000</v>
      </c>
      <c r="C8" s="41">
        <f>'2024 Details'!B7</f>
        <v>20000</v>
      </c>
      <c r="D8" s="35">
        <v>18400</v>
      </c>
    </row>
    <row r="9" spans="1:4" x14ac:dyDescent="0.25">
      <c r="A9" s="40" t="s">
        <v>93</v>
      </c>
      <c r="B9" s="118">
        <v>5000</v>
      </c>
      <c r="C9" s="41">
        <v>2797.28</v>
      </c>
      <c r="D9" s="35">
        <v>1814.27</v>
      </c>
    </row>
    <row r="10" spans="1:4" x14ac:dyDescent="0.25">
      <c r="A10" s="40" t="s">
        <v>299</v>
      </c>
      <c r="B10" s="118">
        <f>749*2</f>
        <v>1498</v>
      </c>
      <c r="C10" s="41">
        <v>1498</v>
      </c>
      <c r="D10" s="35">
        <v>0</v>
      </c>
    </row>
    <row r="11" spans="1:4" x14ac:dyDescent="0.25">
      <c r="A11" s="40" t="s">
        <v>300</v>
      </c>
      <c r="B11" s="118">
        <f>2*1350</f>
        <v>2700</v>
      </c>
      <c r="C11" s="41">
        <v>0</v>
      </c>
      <c r="D11" s="35">
        <v>0</v>
      </c>
    </row>
    <row r="12" spans="1:4" x14ac:dyDescent="0.25">
      <c r="A12" s="40" t="str">
        <f>'2024 Details'!A10</f>
        <v>Sonychelle Media &amp; Communications LLC (logo)</v>
      </c>
      <c r="B12" s="118">
        <v>0</v>
      </c>
      <c r="C12" s="41">
        <f>'2024 Details'!B10</f>
        <v>3500</v>
      </c>
      <c r="D12" s="35">
        <v>0</v>
      </c>
    </row>
    <row r="13" spans="1:4" x14ac:dyDescent="0.25">
      <c r="A13" s="111" t="str">
        <f>'2024 Details'!A11</f>
        <v>CS INTEGRATION  - JENNIFER</v>
      </c>
      <c r="B13" s="119"/>
      <c r="C13" s="69"/>
      <c r="D13" s="112"/>
    </row>
    <row r="14" spans="1:4" x14ac:dyDescent="0.25">
      <c r="A14" s="40"/>
      <c r="B14" s="118"/>
      <c r="C14" s="41"/>
    </row>
    <row r="15" spans="1:4" ht="15" x14ac:dyDescent="0.25">
      <c r="A15" s="62" t="s">
        <v>97</v>
      </c>
      <c r="B15" s="117"/>
      <c r="C15" s="65"/>
      <c r="D15" s="112"/>
    </row>
    <row r="16" spans="1:4" x14ac:dyDescent="0.25">
      <c r="A16" s="40" t="s">
        <v>98</v>
      </c>
      <c r="B16" s="118">
        <v>18545.310000000001</v>
      </c>
      <c r="C16" s="41">
        <f>'2024 Details'!B14</f>
        <v>18545.32</v>
      </c>
      <c r="D16" s="113">
        <f>18545.31+1652.26</f>
        <v>20197.57</v>
      </c>
    </row>
    <row r="17" spans="1:4" x14ac:dyDescent="0.25">
      <c r="A17" s="40" t="s">
        <v>301</v>
      </c>
      <c r="B17" s="118">
        <v>2850</v>
      </c>
      <c r="C17" s="41">
        <v>2537.14</v>
      </c>
      <c r="D17" s="113">
        <v>2557.4</v>
      </c>
    </row>
    <row r="18" spans="1:4" s="32" customFormat="1" x14ac:dyDescent="0.25">
      <c r="A18" s="40" t="s">
        <v>302</v>
      </c>
      <c r="B18" s="118">
        <v>2670</v>
      </c>
      <c r="C18" s="41">
        <v>2510</v>
      </c>
      <c r="D18" s="113">
        <v>1419.4</v>
      </c>
    </row>
    <row r="19" spans="1:4" s="32" customFormat="1" x14ac:dyDescent="0.25">
      <c r="A19" s="40" t="s">
        <v>303</v>
      </c>
      <c r="B19" s="118">
        <v>1500</v>
      </c>
      <c r="C19" s="41">
        <v>1140</v>
      </c>
      <c r="D19" s="113">
        <v>1714.14</v>
      </c>
    </row>
    <row r="20" spans="1:4" s="32" customFormat="1" x14ac:dyDescent="0.25">
      <c r="A20" s="40" t="s">
        <v>304</v>
      </c>
      <c r="B20" s="118">
        <v>0</v>
      </c>
      <c r="C20" s="41">
        <v>0</v>
      </c>
      <c r="D20" s="113">
        <v>75</v>
      </c>
    </row>
    <row r="21" spans="1:4" s="32" customFormat="1" x14ac:dyDescent="0.25">
      <c r="A21" s="40" t="s">
        <v>305</v>
      </c>
      <c r="B21" s="118">
        <v>0</v>
      </c>
      <c r="C21" s="41">
        <v>1587.8</v>
      </c>
      <c r="D21" s="113">
        <v>0</v>
      </c>
    </row>
    <row r="22" spans="1:4" x14ac:dyDescent="0.25">
      <c r="A22" s="40" t="s">
        <v>306</v>
      </c>
      <c r="B22" s="118">
        <v>0</v>
      </c>
      <c r="C22" s="41">
        <f>'2024 Details'!B18</f>
        <v>3750</v>
      </c>
      <c r="D22" s="113">
        <v>0</v>
      </c>
    </row>
    <row r="23" spans="1:4" x14ac:dyDescent="0.25">
      <c r="A23" s="111" t="s">
        <v>283</v>
      </c>
      <c r="B23" s="119"/>
      <c r="C23" s="69"/>
      <c r="D23" s="112"/>
    </row>
    <row r="24" spans="1:4" x14ac:dyDescent="0.25">
      <c r="A24" s="40" t="s">
        <v>307</v>
      </c>
      <c r="B24" s="118">
        <v>2500</v>
      </c>
      <c r="C24" s="41">
        <v>630</v>
      </c>
      <c r="D24" s="35">
        <v>0</v>
      </c>
    </row>
    <row r="25" spans="1:4" s="32" customFormat="1" x14ac:dyDescent="0.25">
      <c r="A25" s="40" t="s">
        <v>104</v>
      </c>
      <c r="B25" s="118">
        <v>40000</v>
      </c>
      <c r="C25" s="41">
        <v>35081</v>
      </c>
      <c r="D25" s="35">
        <v>0</v>
      </c>
    </row>
    <row r="26" spans="1:4" s="32" customFormat="1" x14ac:dyDescent="0.25">
      <c r="A26" s="40" t="s">
        <v>105</v>
      </c>
      <c r="B26" s="118">
        <v>2000</v>
      </c>
      <c r="C26" s="41">
        <v>1777.55</v>
      </c>
      <c r="D26" s="35">
        <v>0</v>
      </c>
    </row>
    <row r="27" spans="1:4" x14ac:dyDescent="0.25">
      <c r="A27" s="40" t="s">
        <v>106</v>
      </c>
      <c r="B27" s="118">
        <v>615</v>
      </c>
      <c r="C27" s="41">
        <v>175</v>
      </c>
      <c r="D27" s="35">
        <v>0</v>
      </c>
    </row>
    <row r="28" spans="1:4" ht="15" x14ac:dyDescent="0.25">
      <c r="A28" s="62" t="s">
        <v>107</v>
      </c>
      <c r="B28" s="117"/>
      <c r="C28" s="65"/>
      <c r="D28" s="112"/>
    </row>
    <row r="29" spans="1:4" x14ac:dyDescent="0.25">
      <c r="A29" s="40" t="s">
        <v>308</v>
      </c>
      <c r="B29" s="118">
        <v>11250</v>
      </c>
      <c r="C29" s="41">
        <v>4050</v>
      </c>
      <c r="D29" s="35">
        <v>0</v>
      </c>
    </row>
    <row r="30" spans="1:4" ht="15" x14ac:dyDescent="0.25">
      <c r="A30" s="62" t="s">
        <v>108</v>
      </c>
      <c r="B30" s="117"/>
      <c r="C30" s="65"/>
      <c r="D30" s="112"/>
    </row>
    <row r="31" spans="1:4" x14ac:dyDescent="0.25">
      <c r="A31" s="40" t="s">
        <v>309</v>
      </c>
      <c r="B31" s="118">
        <f>(140000*30.75%)+140000</f>
        <v>183050</v>
      </c>
      <c r="C31" s="41">
        <v>202328.21</v>
      </c>
      <c r="D31" s="113">
        <v>209484.71</v>
      </c>
    </row>
    <row r="32" spans="1:4" x14ac:dyDescent="0.25">
      <c r="A32" s="40" t="s">
        <v>310</v>
      </c>
      <c r="B32" s="118">
        <v>5000</v>
      </c>
      <c r="C32" s="41">
        <v>3973.61</v>
      </c>
      <c r="D32" s="35">
        <v>5000</v>
      </c>
    </row>
    <row r="33" spans="1:5" ht="15" x14ac:dyDescent="0.25">
      <c r="A33" s="62" t="s">
        <v>112</v>
      </c>
      <c r="B33" s="117"/>
      <c r="C33" s="65"/>
      <c r="D33" s="112"/>
    </row>
    <row r="34" spans="1:5" x14ac:dyDescent="0.25">
      <c r="A34" s="40" t="s">
        <v>311</v>
      </c>
      <c r="B34" s="118">
        <v>27858.75</v>
      </c>
      <c r="C34" s="41">
        <v>22273.34</v>
      </c>
      <c r="D34" s="113">
        <f>12325.59+2000</f>
        <v>14325.59</v>
      </c>
    </row>
    <row r="35" spans="1:5" x14ac:dyDescent="0.25">
      <c r="A35" s="40" t="s">
        <v>114</v>
      </c>
      <c r="B35" s="118">
        <v>6000</v>
      </c>
      <c r="C35" s="41">
        <v>4926.3500000000004</v>
      </c>
      <c r="D35" s="113">
        <v>0</v>
      </c>
    </row>
    <row r="36" spans="1:5" x14ac:dyDescent="0.25">
      <c r="A36" s="40" t="s">
        <v>312</v>
      </c>
      <c r="B36" s="118">
        <v>500</v>
      </c>
      <c r="C36" s="41">
        <v>369.19</v>
      </c>
      <c r="D36" s="113">
        <v>0</v>
      </c>
    </row>
    <row r="37" spans="1:5" x14ac:dyDescent="0.25">
      <c r="A37" s="40" t="s">
        <v>313</v>
      </c>
      <c r="B37" s="118">
        <v>2500</v>
      </c>
      <c r="C37" s="41">
        <v>2018.27</v>
      </c>
      <c r="D37" s="113">
        <v>0</v>
      </c>
    </row>
    <row r="38" spans="1:5" x14ac:dyDescent="0.25">
      <c r="A38" s="40" t="s">
        <v>314</v>
      </c>
      <c r="B38" s="118">
        <v>250</v>
      </c>
      <c r="C38" s="41">
        <v>230</v>
      </c>
      <c r="D38" s="113">
        <v>0</v>
      </c>
    </row>
    <row r="39" spans="1:5" x14ac:dyDescent="0.25">
      <c r="A39" s="40" t="s">
        <v>315</v>
      </c>
      <c r="B39" s="118">
        <v>225</v>
      </c>
      <c r="C39" s="41">
        <v>200</v>
      </c>
      <c r="D39" s="113">
        <v>0</v>
      </c>
    </row>
    <row r="40" spans="1:5" x14ac:dyDescent="0.25">
      <c r="A40" s="40" t="s">
        <v>316</v>
      </c>
      <c r="B40" s="118">
        <v>225</v>
      </c>
      <c r="C40" s="41">
        <v>200</v>
      </c>
      <c r="D40" s="113">
        <v>0</v>
      </c>
    </row>
    <row r="41" spans="1:5" s="32" customFormat="1" ht="15" x14ac:dyDescent="0.25">
      <c r="A41" s="62" t="s">
        <v>119</v>
      </c>
      <c r="B41" s="117"/>
      <c r="C41" s="65"/>
      <c r="D41" s="112"/>
      <c r="E41" s="34"/>
    </row>
    <row r="42" spans="1:5" x14ac:dyDescent="0.25">
      <c r="A42" s="40" t="s">
        <v>39</v>
      </c>
      <c r="B42" s="118">
        <v>0</v>
      </c>
      <c r="C42" s="41">
        <v>0</v>
      </c>
      <c r="D42" s="35">
        <f>196+42+14+345</f>
        <v>597</v>
      </c>
    </row>
    <row r="43" spans="1:5" x14ac:dyDescent="0.25">
      <c r="A43" s="40" t="s">
        <v>120</v>
      </c>
      <c r="B43" s="118"/>
      <c r="C43" s="41">
        <v>3931.2</v>
      </c>
      <c r="D43" s="113">
        <f>3726.45+70+10.5+1.4+140+21+2.8+175+26.25+3.5+105+15.75+2.1+35+5.25+0.7</f>
        <v>4340.7</v>
      </c>
    </row>
    <row r="44" spans="1:5" x14ac:dyDescent="0.25">
      <c r="A44" s="40" t="s">
        <v>317</v>
      </c>
      <c r="B44" s="118"/>
      <c r="C44" s="41">
        <v>2574.48</v>
      </c>
      <c r="D44" s="35">
        <f>3300.7+440.1</f>
        <v>3740.7999999999997</v>
      </c>
    </row>
    <row r="45" spans="1:5" x14ac:dyDescent="0.25">
      <c r="A45" s="40" t="s">
        <v>318</v>
      </c>
      <c r="B45" s="118"/>
      <c r="C45" s="41">
        <f>'2024 Details'!B43</f>
        <v>15057</v>
      </c>
      <c r="D45" s="216">
        <v>18817.919999999998</v>
      </c>
    </row>
    <row r="46" spans="1:5" x14ac:dyDescent="0.25">
      <c r="A46" s="40" t="s">
        <v>319</v>
      </c>
      <c r="B46" s="118"/>
      <c r="C46" s="41">
        <v>87</v>
      </c>
      <c r="D46" s="216"/>
    </row>
    <row r="47" spans="1:5" x14ac:dyDescent="0.25">
      <c r="A47" s="40" t="s">
        <v>124</v>
      </c>
      <c r="B47" s="118">
        <v>500</v>
      </c>
      <c r="C47" s="41">
        <v>379.08</v>
      </c>
      <c r="D47" s="115">
        <v>0</v>
      </c>
    </row>
    <row r="48" spans="1:5" x14ac:dyDescent="0.25">
      <c r="A48" s="40" t="s">
        <v>320</v>
      </c>
      <c r="B48" s="118">
        <v>125</v>
      </c>
      <c r="C48" s="41">
        <v>125</v>
      </c>
      <c r="D48" s="115">
        <v>0</v>
      </c>
    </row>
    <row r="49" spans="1:5" x14ac:dyDescent="0.25">
      <c r="A49" s="40" t="s">
        <v>321</v>
      </c>
      <c r="B49" s="118">
        <v>200</v>
      </c>
      <c r="C49" s="41">
        <v>200</v>
      </c>
      <c r="D49" s="115">
        <v>0</v>
      </c>
    </row>
    <row r="50" spans="1:5" x14ac:dyDescent="0.25">
      <c r="A50" s="40" t="s">
        <v>322</v>
      </c>
      <c r="B50" s="118">
        <v>550</v>
      </c>
      <c r="C50" s="41">
        <v>550</v>
      </c>
      <c r="D50" s="115">
        <v>0</v>
      </c>
    </row>
    <row r="51" spans="1:5" x14ac:dyDescent="0.25">
      <c r="A51" s="40" t="s">
        <v>323</v>
      </c>
      <c r="B51" s="118">
        <v>575</v>
      </c>
      <c r="C51" s="41">
        <v>575</v>
      </c>
      <c r="D51" s="115">
        <v>0</v>
      </c>
    </row>
    <row r="52" spans="1:5" ht="15" x14ac:dyDescent="0.25">
      <c r="A52" s="62" t="s">
        <v>324</v>
      </c>
      <c r="B52" s="117"/>
      <c r="C52" s="65"/>
      <c r="D52" s="112"/>
    </row>
    <row r="53" spans="1:5" x14ac:dyDescent="0.25">
      <c r="A53" s="40" t="s">
        <v>325</v>
      </c>
      <c r="B53" s="118">
        <v>250</v>
      </c>
      <c r="C53" s="41">
        <v>0</v>
      </c>
      <c r="D53" s="35">
        <f>123+123</f>
        <v>246</v>
      </c>
    </row>
    <row r="54" spans="1:5" x14ac:dyDescent="0.25">
      <c r="A54" s="40" t="s">
        <v>326</v>
      </c>
      <c r="B54" s="118">
        <v>0</v>
      </c>
      <c r="C54" s="41">
        <v>6600</v>
      </c>
      <c r="D54" s="35">
        <v>11822</v>
      </c>
    </row>
    <row r="55" spans="1:5" s="32" customFormat="1" ht="15" x14ac:dyDescent="0.25">
      <c r="A55" s="62" t="s">
        <v>327</v>
      </c>
      <c r="B55" s="117"/>
      <c r="C55" s="65"/>
      <c r="D55" s="112"/>
      <c r="E55" s="34"/>
    </row>
    <row r="56" spans="1:5" s="32" customFormat="1" x14ac:dyDescent="0.25">
      <c r="A56" s="40" t="s">
        <v>328</v>
      </c>
      <c r="B56" s="118">
        <v>0</v>
      </c>
      <c r="C56" s="118">
        <v>0</v>
      </c>
      <c r="D56" s="114">
        <v>7500</v>
      </c>
      <c r="E56" s="34"/>
    </row>
    <row r="57" spans="1:5" s="32" customFormat="1" x14ac:dyDescent="0.25">
      <c r="A57" s="40" t="s">
        <v>329</v>
      </c>
      <c r="B57" s="118">
        <v>15500</v>
      </c>
      <c r="C57" s="118">
        <v>0</v>
      </c>
      <c r="D57" s="118">
        <v>0</v>
      </c>
      <c r="E57" s="34"/>
    </row>
    <row r="58" spans="1:5" s="32" customFormat="1" x14ac:dyDescent="0.25">
      <c r="A58" s="40" t="s">
        <v>330</v>
      </c>
      <c r="B58" s="118">
        <v>0</v>
      </c>
      <c r="C58" s="118">
        <v>0</v>
      </c>
      <c r="D58" s="114">
        <v>8500</v>
      </c>
      <c r="E58" s="34"/>
    </row>
    <row r="59" spans="1:5" s="32" customFormat="1" x14ac:dyDescent="0.25">
      <c r="A59" s="40" t="s">
        <v>331</v>
      </c>
      <c r="B59" s="118">
        <v>0</v>
      </c>
      <c r="C59" s="118">
        <v>0</v>
      </c>
      <c r="D59" s="114">
        <v>7000</v>
      </c>
      <c r="E59" s="34"/>
    </row>
    <row r="60" spans="1:5" s="32" customFormat="1" x14ac:dyDescent="0.25">
      <c r="A60" s="40" t="s">
        <v>132</v>
      </c>
      <c r="B60" s="118">
        <v>0</v>
      </c>
      <c r="C60" s="41">
        <v>6700</v>
      </c>
      <c r="D60" s="118">
        <v>0</v>
      </c>
      <c r="E60" s="34"/>
    </row>
    <row r="61" spans="1:5" s="32" customFormat="1" x14ac:dyDescent="0.25">
      <c r="A61" s="40" t="s">
        <v>133</v>
      </c>
      <c r="B61" s="118">
        <v>0</v>
      </c>
      <c r="C61" s="41">
        <v>15000</v>
      </c>
      <c r="D61" s="118">
        <v>0</v>
      </c>
      <c r="E61" s="34"/>
    </row>
    <row r="62" spans="1:5" s="32" customFormat="1" x14ac:dyDescent="0.25">
      <c r="A62" s="40" t="s">
        <v>332</v>
      </c>
      <c r="B62" s="118">
        <v>12199</v>
      </c>
      <c r="C62" s="118">
        <v>0</v>
      </c>
      <c r="D62" s="118">
        <v>0</v>
      </c>
      <c r="E62" s="34"/>
    </row>
    <row r="63" spans="1:5" s="32" customFormat="1" x14ac:dyDescent="0.25">
      <c r="A63" s="40" t="s">
        <v>333</v>
      </c>
      <c r="B63" s="118">
        <v>0</v>
      </c>
      <c r="C63" s="41">
        <v>15000</v>
      </c>
      <c r="D63" s="118">
        <v>0</v>
      </c>
      <c r="E63" s="34"/>
    </row>
    <row r="64" spans="1:5" s="32" customFormat="1" x14ac:dyDescent="0.25">
      <c r="A64" s="40" t="s">
        <v>334</v>
      </c>
      <c r="B64" s="118">
        <v>0</v>
      </c>
      <c r="C64" s="118">
        <v>0</v>
      </c>
      <c r="D64" s="114">
        <v>15000</v>
      </c>
      <c r="E64" s="34"/>
    </row>
    <row r="65" spans="1:5" s="32" customFormat="1" x14ac:dyDescent="0.25">
      <c r="A65" s="40" t="s">
        <v>335</v>
      </c>
      <c r="B65" s="118">
        <v>17000</v>
      </c>
      <c r="C65" s="118">
        <v>0</v>
      </c>
      <c r="D65" s="114">
        <v>0</v>
      </c>
      <c r="E65" s="34"/>
    </row>
    <row r="66" spans="1:5" s="32" customFormat="1" x14ac:dyDescent="0.25">
      <c r="A66" s="40" t="s">
        <v>336</v>
      </c>
      <c r="B66" s="118">
        <v>0</v>
      </c>
      <c r="C66" s="118">
        <v>0</v>
      </c>
      <c r="D66" s="114">
        <v>10000</v>
      </c>
      <c r="E66" s="34"/>
    </row>
    <row r="67" spans="1:5" s="32" customFormat="1" x14ac:dyDescent="0.25">
      <c r="A67" s="40" t="s">
        <v>337</v>
      </c>
      <c r="B67" s="118">
        <v>0</v>
      </c>
      <c r="C67" s="118">
        <v>0</v>
      </c>
      <c r="D67" s="114">
        <v>7500</v>
      </c>
      <c r="E67" s="34"/>
    </row>
    <row r="68" spans="1:5" s="32" customFormat="1" x14ac:dyDescent="0.25">
      <c r="A68" s="40" t="s">
        <v>338</v>
      </c>
      <c r="B68" s="118">
        <v>0</v>
      </c>
      <c r="C68" s="118">
        <v>0</v>
      </c>
      <c r="D68" s="114">
        <v>7500</v>
      </c>
      <c r="E68" s="34"/>
    </row>
    <row r="69" spans="1:5" s="32" customFormat="1" x14ac:dyDescent="0.25">
      <c r="A69" s="40" t="s">
        <v>339</v>
      </c>
      <c r="B69" s="118">
        <v>0</v>
      </c>
      <c r="C69" s="118">
        <v>0</v>
      </c>
      <c r="D69" s="114">
        <v>2350</v>
      </c>
    </row>
    <row r="70" spans="1:5" s="32" customFormat="1" x14ac:dyDescent="0.25">
      <c r="A70" s="40" t="s">
        <v>340</v>
      </c>
      <c r="B70" s="118">
        <v>0</v>
      </c>
      <c r="C70" s="118">
        <v>0</v>
      </c>
      <c r="D70" s="114">
        <v>5000</v>
      </c>
      <c r="E70" s="34"/>
    </row>
    <row r="71" spans="1:5" s="32" customFormat="1" ht="15" x14ac:dyDescent="0.25">
      <c r="A71" s="62" t="s">
        <v>135</v>
      </c>
      <c r="B71" s="117"/>
      <c r="C71" s="65"/>
      <c r="D71" s="112"/>
    </row>
    <row r="72" spans="1:5" s="32" customFormat="1" x14ac:dyDescent="0.25">
      <c r="A72" s="40" t="s">
        <v>341</v>
      </c>
      <c r="B72" s="118">
        <v>3000</v>
      </c>
      <c r="C72" s="41">
        <v>1000</v>
      </c>
      <c r="D72" s="35">
        <v>0</v>
      </c>
    </row>
    <row r="73" spans="1:5" s="32" customFormat="1" x14ac:dyDescent="0.25">
      <c r="A73" s="40" t="s">
        <v>342</v>
      </c>
      <c r="B73" s="118">
        <v>3000</v>
      </c>
      <c r="C73" s="41">
        <v>1000</v>
      </c>
      <c r="D73" s="35">
        <v>0</v>
      </c>
    </row>
    <row r="74" spans="1:5" s="32" customFormat="1" x14ac:dyDescent="0.25">
      <c r="A74" s="40" t="s">
        <v>343</v>
      </c>
      <c r="B74" s="118">
        <v>1000</v>
      </c>
      <c r="C74" s="41">
        <v>1000</v>
      </c>
      <c r="D74" s="35">
        <v>0</v>
      </c>
    </row>
    <row r="75" spans="1:5" s="32" customFormat="1" x14ac:dyDescent="0.25">
      <c r="A75" s="40" t="s">
        <v>344</v>
      </c>
      <c r="B75" s="118">
        <v>500</v>
      </c>
      <c r="C75" s="41">
        <v>0</v>
      </c>
      <c r="D75" s="35">
        <v>0</v>
      </c>
    </row>
    <row r="76" spans="1:5" s="32" customFormat="1" x14ac:dyDescent="0.25">
      <c r="A76" s="40" t="s">
        <v>345</v>
      </c>
      <c r="B76" s="118">
        <v>53412.5</v>
      </c>
      <c r="C76" s="41">
        <v>35350</v>
      </c>
      <c r="D76" s="35">
        <f>49249.82</f>
        <v>49249.82</v>
      </c>
    </row>
    <row r="77" spans="1:5" s="32" customFormat="1" x14ac:dyDescent="0.25">
      <c r="A77" s="40" t="s">
        <v>346</v>
      </c>
      <c r="B77" s="118">
        <v>119638.88</v>
      </c>
      <c r="C77" s="41">
        <v>107152.85</v>
      </c>
      <c r="D77" s="35">
        <v>81472.240000000005</v>
      </c>
    </row>
    <row r="78" spans="1:5" s="32" customFormat="1" x14ac:dyDescent="0.25">
      <c r="A78" s="40" t="s">
        <v>347</v>
      </c>
      <c r="B78" s="118">
        <v>0</v>
      </c>
      <c r="C78" s="41">
        <v>0</v>
      </c>
      <c r="D78" s="35">
        <v>3000</v>
      </c>
    </row>
    <row r="79" spans="1:5" ht="15" x14ac:dyDescent="0.25">
      <c r="A79" s="62" t="s">
        <v>139</v>
      </c>
      <c r="B79" s="117"/>
      <c r="C79" s="65"/>
      <c r="D79" s="112"/>
      <c r="E79" s="32"/>
    </row>
    <row r="80" spans="1:5" x14ac:dyDescent="0.25">
      <c r="A80" s="40" t="s">
        <v>348</v>
      </c>
      <c r="B80" s="118">
        <v>0</v>
      </c>
      <c r="C80" s="41">
        <f>'2024 Details'!B64</f>
        <v>2247</v>
      </c>
      <c r="D80" s="35">
        <v>0</v>
      </c>
      <c r="E80" s="32"/>
    </row>
    <row r="81" spans="1:5" x14ac:dyDescent="0.25">
      <c r="A81" s="40" t="s">
        <v>16</v>
      </c>
      <c r="B81" s="118">
        <v>8000</v>
      </c>
      <c r="C81" s="41">
        <v>0</v>
      </c>
      <c r="D81" s="35">
        <v>4550</v>
      </c>
      <c r="E81" s="32"/>
    </row>
    <row r="82" spans="1:5" x14ac:dyDescent="0.25">
      <c r="A82" s="40" t="s">
        <v>141</v>
      </c>
      <c r="B82" s="118">
        <v>0</v>
      </c>
      <c r="C82" s="41">
        <v>92.86</v>
      </c>
      <c r="D82" s="35">
        <v>0</v>
      </c>
    </row>
    <row r="83" spans="1:5" x14ac:dyDescent="0.25">
      <c r="A83" s="40" t="s">
        <v>142</v>
      </c>
      <c r="B83" s="118">
        <v>2000</v>
      </c>
      <c r="C83" s="41">
        <v>2961.26</v>
      </c>
      <c r="D83" s="35">
        <v>0</v>
      </c>
    </row>
    <row r="84" spans="1:5" s="32" customFormat="1" x14ac:dyDescent="0.25">
      <c r="A84" s="40" t="s">
        <v>143</v>
      </c>
      <c r="B84" s="118">
        <v>2250</v>
      </c>
      <c r="C84" s="41">
        <f>'2024 Details'!B68</f>
        <v>2108.66</v>
      </c>
      <c r="D84" s="35">
        <v>2021.65</v>
      </c>
      <c r="E84" s="34"/>
    </row>
    <row r="85" spans="1:5" x14ac:dyDescent="0.25">
      <c r="A85" s="40" t="s">
        <v>144</v>
      </c>
      <c r="B85" s="118">
        <v>2500</v>
      </c>
      <c r="C85" s="41">
        <v>1802.28</v>
      </c>
      <c r="D85" s="35">
        <v>1899.83</v>
      </c>
    </row>
    <row r="86" spans="1:5" x14ac:dyDescent="0.25">
      <c r="A86" s="40" t="s">
        <v>349</v>
      </c>
      <c r="B86" s="118">
        <v>2300</v>
      </c>
      <c r="C86" s="41">
        <v>2309.75</v>
      </c>
      <c r="D86" s="35">
        <v>0</v>
      </c>
    </row>
    <row r="87" spans="1:5" s="32" customFormat="1" ht="15" x14ac:dyDescent="0.25">
      <c r="A87" s="62" t="s">
        <v>146</v>
      </c>
      <c r="B87" s="117"/>
      <c r="C87" s="65"/>
      <c r="D87" s="112"/>
    </row>
    <row r="88" spans="1:5" x14ac:dyDescent="0.25">
      <c r="A88" s="40" t="s">
        <v>350</v>
      </c>
      <c r="B88" s="118">
        <v>0</v>
      </c>
      <c r="C88" s="41">
        <v>3000</v>
      </c>
      <c r="D88" s="35">
        <v>0</v>
      </c>
    </row>
    <row r="89" spans="1:5" x14ac:dyDescent="0.25">
      <c r="A89" s="40" t="s">
        <v>351</v>
      </c>
      <c r="B89" s="118">
        <v>500</v>
      </c>
      <c r="C89" s="41">
        <v>420</v>
      </c>
      <c r="D89" s="35">
        <v>0</v>
      </c>
    </row>
    <row r="90" spans="1:5" x14ac:dyDescent="0.25">
      <c r="A90" s="40" t="s">
        <v>149</v>
      </c>
      <c r="B90" s="118">
        <v>20000</v>
      </c>
      <c r="C90" s="41">
        <v>17724.88</v>
      </c>
      <c r="D90" s="35">
        <v>0</v>
      </c>
      <c r="E90" s="32"/>
    </row>
    <row r="91" spans="1:5" ht="15" x14ac:dyDescent="0.25">
      <c r="A91" s="62" t="s">
        <v>150</v>
      </c>
      <c r="B91" s="117"/>
      <c r="C91" s="69"/>
      <c r="D91" s="112"/>
    </row>
    <row r="92" spans="1:5" x14ac:dyDescent="0.25">
      <c r="A92" s="40" t="s">
        <v>352</v>
      </c>
      <c r="B92" s="118">
        <v>1250</v>
      </c>
      <c r="C92" s="41">
        <v>1050</v>
      </c>
      <c r="D92" s="35">
        <v>0</v>
      </c>
    </row>
    <row r="93" spans="1:5" ht="15" x14ac:dyDescent="0.25">
      <c r="A93" s="62" t="s">
        <v>152</v>
      </c>
      <c r="B93" s="117"/>
      <c r="C93" s="69"/>
      <c r="D93" s="112"/>
    </row>
    <row r="94" spans="1:5" x14ac:dyDescent="0.25">
      <c r="A94" s="40" t="s">
        <v>353</v>
      </c>
      <c r="B94" s="118">
        <v>0</v>
      </c>
      <c r="C94" s="41">
        <v>12111.6</v>
      </c>
      <c r="D94" s="35">
        <v>0</v>
      </c>
    </row>
    <row r="95" spans="1:5" x14ac:dyDescent="0.25">
      <c r="A95" s="40" t="s">
        <v>154</v>
      </c>
      <c r="B95" s="118">
        <v>5000</v>
      </c>
      <c r="C95" s="41">
        <v>4658.67</v>
      </c>
      <c r="D95" s="35">
        <v>0</v>
      </c>
    </row>
    <row r="96" spans="1:5" x14ac:dyDescent="0.25">
      <c r="A96" s="40" t="s">
        <v>14</v>
      </c>
      <c r="B96" s="118">
        <v>100</v>
      </c>
      <c r="C96" s="41">
        <v>100</v>
      </c>
      <c r="D96" s="35">
        <v>246</v>
      </c>
    </row>
    <row r="97" spans="1:5" x14ac:dyDescent="0.25">
      <c r="A97" s="40" t="s">
        <v>155</v>
      </c>
      <c r="B97" s="118">
        <v>100</v>
      </c>
      <c r="C97" s="41">
        <v>100</v>
      </c>
      <c r="D97" s="35">
        <v>0</v>
      </c>
    </row>
    <row r="98" spans="1:5" ht="15" x14ac:dyDescent="0.25">
      <c r="A98" s="62" t="s">
        <v>354</v>
      </c>
      <c r="B98" s="117"/>
      <c r="C98" s="69"/>
      <c r="D98" s="112"/>
    </row>
    <row r="99" spans="1:5" x14ac:dyDescent="0.25">
      <c r="A99" s="40" t="s">
        <v>263</v>
      </c>
      <c r="B99" s="118">
        <v>0</v>
      </c>
      <c r="C99" s="41">
        <v>0</v>
      </c>
      <c r="D99" s="35">
        <v>0</v>
      </c>
    </row>
    <row r="100" spans="1:5" ht="15" x14ac:dyDescent="0.25">
      <c r="A100" s="62" t="s">
        <v>355</v>
      </c>
      <c r="B100" s="117"/>
      <c r="C100" s="69"/>
      <c r="D100" s="112"/>
    </row>
    <row r="101" spans="1:5" x14ac:dyDescent="0.25">
      <c r="A101" s="40" t="s">
        <v>356</v>
      </c>
      <c r="B101" s="118">
        <v>0</v>
      </c>
      <c r="C101" s="41">
        <v>0</v>
      </c>
      <c r="D101" s="35">
        <v>5000</v>
      </c>
    </row>
    <row r="102" spans="1:5" x14ac:dyDescent="0.25">
      <c r="A102" s="40" t="s">
        <v>357</v>
      </c>
      <c r="B102" s="118">
        <v>0</v>
      </c>
      <c r="C102" s="41">
        <v>0</v>
      </c>
      <c r="D102" s="35">
        <v>5875.57</v>
      </c>
    </row>
    <row r="103" spans="1:5" x14ac:dyDescent="0.25">
      <c r="A103" s="40" t="s">
        <v>358</v>
      </c>
      <c r="B103" s="118">
        <v>0</v>
      </c>
      <c r="C103" s="41">
        <v>0</v>
      </c>
      <c r="D103" s="35">
        <v>848</v>
      </c>
    </row>
    <row r="104" spans="1:5" ht="15" x14ac:dyDescent="0.25">
      <c r="A104" s="62" t="s">
        <v>294</v>
      </c>
      <c r="B104" s="117"/>
      <c r="C104" s="69"/>
      <c r="D104" s="112"/>
    </row>
    <row r="105" spans="1:5" x14ac:dyDescent="0.25">
      <c r="A105" s="40"/>
      <c r="B105" s="118"/>
      <c r="C105" s="41"/>
    </row>
    <row r="106" spans="1:5" s="31" customFormat="1" ht="15" x14ac:dyDescent="0.25">
      <c r="A106" s="83" t="s">
        <v>158</v>
      </c>
      <c r="B106" s="120">
        <f>SUM(B4:B103)</f>
        <v>619522.43999999994</v>
      </c>
      <c r="C106" s="44">
        <f>SUM(C4:C105)</f>
        <v>605897.69000000006</v>
      </c>
      <c r="D106" s="44">
        <f>SUM(D4:D105)</f>
        <v>541308.61</v>
      </c>
    </row>
    <row r="107" spans="1:5" s="31" customFormat="1" ht="15" x14ac:dyDescent="0.25">
      <c r="A107" s="83" t="s">
        <v>159</v>
      </c>
      <c r="B107" s="120">
        <f>B106*7.56%</f>
        <v>46835.896463999998</v>
      </c>
      <c r="C107" s="44">
        <f>C106*8.5%</f>
        <v>51501.303650000009</v>
      </c>
      <c r="D107" s="57">
        <f>D106*8.95%</f>
        <v>48447.120595</v>
      </c>
    </row>
    <row r="108" spans="1:5" s="31" customFormat="1" ht="15.6" thickBot="1" x14ac:dyDescent="0.3">
      <c r="A108" s="83" t="s">
        <v>160</v>
      </c>
      <c r="B108" s="106">
        <f>SUM(B106:B107)</f>
        <v>666358.33646399993</v>
      </c>
      <c r="C108" s="106">
        <f>SUM(C106:C107)</f>
        <v>657398.99365000008</v>
      </c>
      <c r="D108" s="106">
        <f>SUM(D106:D107)</f>
        <v>589755.73059499997</v>
      </c>
    </row>
    <row r="109" spans="1:5" s="31" customFormat="1" ht="15.6" thickTop="1" x14ac:dyDescent="0.25">
      <c r="A109" s="50"/>
      <c r="B109" s="121"/>
      <c r="C109" s="60"/>
      <c r="D109" s="35"/>
      <c r="E109" s="34"/>
    </row>
    <row r="110" spans="1:5" x14ac:dyDescent="0.25">
      <c r="A110" s="33"/>
      <c r="B110" s="122"/>
      <c r="C110" s="36">
        <f>C108-D108</f>
        <v>67643.263055000105</v>
      </c>
    </row>
    <row r="111" spans="1:5" x14ac:dyDescent="0.25">
      <c r="A111" s="33"/>
      <c r="B111" s="122"/>
      <c r="C111" s="125">
        <f>C110/C108</f>
        <v>0.10289529449905646</v>
      </c>
    </row>
    <row r="112" spans="1:5" ht="15" x14ac:dyDescent="0.25">
      <c r="A112" s="33"/>
      <c r="B112" s="122"/>
      <c r="C112" s="36"/>
      <c r="E112" s="31"/>
    </row>
    <row r="113" spans="1:3" x14ac:dyDescent="0.25">
      <c r="A113" s="33"/>
      <c r="B113" s="122"/>
      <c r="C113" s="36"/>
    </row>
    <row r="114" spans="1:3" x14ac:dyDescent="0.25">
      <c r="A114" s="33"/>
      <c r="B114" s="122"/>
      <c r="C114" s="36"/>
    </row>
    <row r="115" spans="1:3" x14ac:dyDescent="0.25">
      <c r="A115" s="33"/>
      <c r="B115" s="122"/>
      <c r="C115" s="36"/>
    </row>
    <row r="116" spans="1:3" x14ac:dyDescent="0.25">
      <c r="A116" s="33"/>
      <c r="B116" s="122"/>
      <c r="C116" s="36"/>
    </row>
    <row r="117" spans="1:3" x14ac:dyDescent="0.25">
      <c r="A117" s="33"/>
      <c r="B117" s="122"/>
      <c r="C117" s="36"/>
    </row>
    <row r="118" spans="1:3" x14ac:dyDescent="0.25">
      <c r="A118" s="33"/>
      <c r="B118" s="122"/>
      <c r="C118" s="36"/>
    </row>
    <row r="119" spans="1:3" x14ac:dyDescent="0.25">
      <c r="A119" s="33"/>
      <c r="B119" s="122"/>
      <c r="C119" s="36"/>
    </row>
    <row r="120" spans="1:3" x14ac:dyDescent="0.25">
      <c r="A120" s="33"/>
      <c r="B120" s="122"/>
      <c r="C120" s="36"/>
    </row>
    <row r="121" spans="1:3" x14ac:dyDescent="0.25">
      <c r="A121" s="33"/>
      <c r="B121" s="122"/>
      <c r="C121" s="36"/>
    </row>
    <row r="122" spans="1:3" x14ac:dyDescent="0.25">
      <c r="A122" s="33"/>
      <c r="B122" s="122"/>
      <c r="C122" s="36"/>
    </row>
    <row r="123" spans="1:3" x14ac:dyDescent="0.25">
      <c r="A123" s="33"/>
      <c r="B123" s="122"/>
      <c r="C123" s="36"/>
    </row>
    <row r="124" spans="1:3" x14ac:dyDescent="0.25">
      <c r="A124" s="33"/>
      <c r="B124" s="122"/>
      <c r="C124" s="36"/>
    </row>
    <row r="125" spans="1:3" x14ac:dyDescent="0.25">
      <c r="A125" s="33"/>
      <c r="B125" s="122"/>
      <c r="C125" s="36"/>
    </row>
    <row r="126" spans="1:3" x14ac:dyDescent="0.25">
      <c r="A126" s="33"/>
      <c r="B126" s="122"/>
      <c r="C126" s="36"/>
    </row>
    <row r="127" spans="1:3" x14ac:dyDescent="0.25">
      <c r="A127" s="33"/>
      <c r="B127" s="122"/>
      <c r="C127" s="36"/>
    </row>
    <row r="128" spans="1:3" x14ac:dyDescent="0.25">
      <c r="A128" s="33"/>
      <c r="B128" s="122"/>
      <c r="C128" s="36"/>
    </row>
    <row r="129" spans="1:3" x14ac:dyDescent="0.25">
      <c r="A129" s="33"/>
      <c r="B129" s="122"/>
      <c r="C129" s="36"/>
    </row>
    <row r="130" spans="1:3" x14ac:dyDescent="0.25">
      <c r="A130" s="33"/>
      <c r="B130" s="122"/>
      <c r="C130" s="36"/>
    </row>
    <row r="131" spans="1:3" x14ac:dyDescent="0.25">
      <c r="A131" s="33"/>
      <c r="B131" s="122"/>
      <c r="C131" s="36"/>
    </row>
    <row r="132" spans="1:3" x14ac:dyDescent="0.25">
      <c r="A132" s="33"/>
      <c r="B132" s="122"/>
      <c r="C132" s="36"/>
    </row>
    <row r="133" spans="1:3" x14ac:dyDescent="0.25">
      <c r="A133" s="33"/>
      <c r="B133" s="122"/>
      <c r="C133" s="36"/>
    </row>
    <row r="134" spans="1:3" x14ac:dyDescent="0.25">
      <c r="A134" s="33"/>
      <c r="B134" s="122"/>
      <c r="C134" s="36"/>
    </row>
    <row r="135" spans="1:3" x14ac:dyDescent="0.25">
      <c r="A135" s="33"/>
      <c r="B135" s="122"/>
      <c r="C135" s="36"/>
    </row>
    <row r="136" spans="1:3" x14ac:dyDescent="0.25">
      <c r="A136" s="33"/>
      <c r="B136" s="122"/>
      <c r="C136" s="36"/>
    </row>
    <row r="137" spans="1:3" x14ac:dyDescent="0.25">
      <c r="A137" s="33"/>
      <c r="B137" s="122"/>
      <c r="C137" s="36"/>
    </row>
    <row r="138" spans="1:3" x14ac:dyDescent="0.25">
      <c r="A138" s="33"/>
      <c r="B138" s="122"/>
      <c r="C138" s="36"/>
    </row>
    <row r="139" spans="1:3" x14ac:dyDescent="0.25">
      <c r="A139" s="33"/>
      <c r="B139" s="122"/>
      <c r="C139" s="36"/>
    </row>
    <row r="140" spans="1:3" x14ac:dyDescent="0.25">
      <c r="A140" s="33"/>
      <c r="B140" s="122"/>
      <c r="C140" s="36"/>
    </row>
    <row r="141" spans="1:3" x14ac:dyDescent="0.25">
      <c r="A141" s="33"/>
      <c r="B141" s="122"/>
      <c r="C141" s="36"/>
    </row>
    <row r="142" spans="1:3" x14ac:dyDescent="0.25">
      <c r="A142" s="33"/>
      <c r="B142" s="122"/>
      <c r="C142" s="36"/>
    </row>
    <row r="143" spans="1:3" x14ac:dyDescent="0.25">
      <c r="A143" s="33"/>
      <c r="B143" s="122"/>
      <c r="C143" s="36"/>
    </row>
    <row r="144" spans="1:3" x14ac:dyDescent="0.25">
      <c r="A144" s="33"/>
      <c r="B144" s="122"/>
      <c r="C144" s="36"/>
    </row>
    <row r="145" spans="1:3" x14ac:dyDescent="0.25">
      <c r="A145" s="33"/>
      <c r="B145" s="122"/>
      <c r="C145" s="36"/>
    </row>
    <row r="146" spans="1:3" x14ac:dyDescent="0.25">
      <c r="A146" s="33"/>
      <c r="B146" s="122"/>
      <c r="C146" s="36"/>
    </row>
    <row r="147" spans="1:3" x14ac:dyDescent="0.25">
      <c r="A147" s="33"/>
      <c r="B147" s="122"/>
      <c r="C147" s="36"/>
    </row>
    <row r="148" spans="1:3" x14ac:dyDescent="0.25">
      <c r="A148" s="33"/>
      <c r="B148" s="122"/>
      <c r="C148" s="36"/>
    </row>
    <row r="149" spans="1:3" x14ac:dyDescent="0.25">
      <c r="A149" s="33"/>
      <c r="B149" s="122"/>
      <c r="C149" s="36"/>
    </row>
    <row r="150" spans="1:3" x14ac:dyDescent="0.25">
      <c r="A150" s="33"/>
      <c r="B150" s="122"/>
      <c r="C150" s="36"/>
    </row>
    <row r="151" spans="1:3" x14ac:dyDescent="0.25">
      <c r="A151" s="33"/>
      <c r="B151" s="122"/>
    </row>
  </sheetData>
  <sortState xmlns:xlrd2="http://schemas.microsoft.com/office/spreadsheetml/2017/richdata2" ref="A56:E70">
    <sortCondition ref="A56:A70"/>
  </sortState>
  <mergeCells count="2">
    <mergeCell ref="A1:D1"/>
    <mergeCell ref="D45:D46"/>
  </mergeCells>
  <pageMargins left="0.7" right="0.7" top="0.75" bottom="0.75" header="0.3" footer="0.3"/>
  <pageSetup scale="77" fitToHeight="0"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84A73E-5998-48A2-B6ED-FB58661AA0D9}">
  <sheetPr>
    <pageSetUpPr fitToPage="1"/>
  </sheetPr>
  <dimension ref="A1:Z187"/>
  <sheetViews>
    <sheetView tabSelected="1" zoomScale="120" zoomScaleNormal="120" workbookViewId="0">
      <pane ySplit="1" topLeftCell="A2" activePane="bottomLeft" state="frozen"/>
      <selection pane="bottomLeft" activeCell="A114" sqref="A114"/>
    </sheetView>
  </sheetViews>
  <sheetFormatPr defaultColWidth="8.88671875" defaultRowHeight="13.8" x14ac:dyDescent="0.25"/>
  <cols>
    <col min="1" max="1" width="65.44140625" style="34" bestFit="1" customWidth="1"/>
    <col min="2" max="2" width="16" style="35" customWidth="1"/>
    <col min="3" max="3" width="14.33203125" style="35" customWidth="1"/>
    <col min="4" max="8" width="14.33203125" style="34" customWidth="1"/>
    <col min="9" max="9" width="15.44140625" style="34" customWidth="1"/>
    <col min="10" max="14" width="14.33203125" style="34" customWidth="1"/>
    <col min="15" max="15" width="13.88671875" style="34" customWidth="1"/>
    <col min="16" max="16" width="15.44140625" style="34" customWidth="1"/>
    <col min="17" max="17" width="17.44140625" style="34" customWidth="1"/>
    <col min="18" max="19" width="15.109375" style="34" bestFit="1" customWidth="1"/>
    <col min="20" max="20" width="13" style="34" bestFit="1" customWidth="1"/>
    <col min="21" max="21" width="13.44140625" style="34" bestFit="1" customWidth="1"/>
    <col min="22" max="22" width="11" style="34" bestFit="1" customWidth="1"/>
    <col min="23" max="23" width="13.88671875" style="34" customWidth="1"/>
    <col min="24" max="24" width="27.88671875" style="34" bestFit="1" customWidth="1"/>
    <col min="25" max="28" width="8.88671875" style="34"/>
    <col min="29" max="29" width="7.44140625" style="34" customWidth="1"/>
    <col min="30" max="16384" width="8.88671875" style="34"/>
  </cols>
  <sheetData>
    <row r="1" spans="1:20" s="31" customFormat="1" ht="15" x14ac:dyDescent="0.25">
      <c r="A1" s="53" t="s">
        <v>81</v>
      </c>
      <c r="B1" s="54" t="s">
        <v>82</v>
      </c>
      <c r="C1" s="72">
        <v>45962</v>
      </c>
      <c r="D1" s="72">
        <v>45992</v>
      </c>
      <c r="E1" s="72">
        <v>46023</v>
      </c>
      <c r="F1" s="72">
        <v>46054</v>
      </c>
      <c r="G1" s="72">
        <v>46082</v>
      </c>
      <c r="H1" s="72">
        <v>46113</v>
      </c>
      <c r="I1" s="72">
        <v>46143</v>
      </c>
      <c r="J1" s="72">
        <v>46174</v>
      </c>
      <c r="K1" s="72">
        <v>46204</v>
      </c>
      <c r="L1" s="72">
        <v>46235</v>
      </c>
      <c r="M1" s="72">
        <v>45901</v>
      </c>
      <c r="N1" s="72"/>
      <c r="O1" s="74" t="s">
        <v>85</v>
      </c>
      <c r="P1" s="74" t="s">
        <v>82</v>
      </c>
      <c r="Q1" s="74" t="s">
        <v>86</v>
      </c>
      <c r="R1" s="75" t="s">
        <v>87</v>
      </c>
    </row>
    <row r="2" spans="1:20" s="31" customFormat="1" ht="15" x14ac:dyDescent="0.25">
      <c r="A2" s="168" t="s">
        <v>359</v>
      </c>
      <c r="B2" s="54"/>
      <c r="C2" s="72"/>
      <c r="D2" s="72"/>
      <c r="E2" s="72"/>
      <c r="F2" s="72"/>
      <c r="G2" s="72"/>
      <c r="H2" s="72"/>
      <c r="I2" s="72"/>
      <c r="J2" s="72"/>
      <c r="K2" s="72"/>
      <c r="L2" s="72"/>
      <c r="M2" s="72"/>
      <c r="N2" s="72"/>
      <c r="O2" s="74"/>
      <c r="P2" s="74"/>
      <c r="Q2" s="74"/>
      <c r="R2" s="75"/>
    </row>
    <row r="3" spans="1:20" s="32" customFormat="1" ht="15" x14ac:dyDescent="0.25">
      <c r="A3" s="62" t="s">
        <v>360</v>
      </c>
      <c r="B3" s="65"/>
      <c r="C3" s="151"/>
      <c r="D3" s="151"/>
      <c r="E3" s="151"/>
      <c r="F3" s="151"/>
      <c r="G3" s="151"/>
      <c r="H3" s="151"/>
      <c r="I3" s="151"/>
      <c r="J3" s="151"/>
      <c r="K3" s="151"/>
      <c r="L3" s="151"/>
      <c r="M3" s="151"/>
      <c r="N3" s="1"/>
      <c r="O3" s="152"/>
      <c r="P3" s="151"/>
      <c r="Q3" s="152"/>
      <c r="R3" s="68"/>
    </row>
    <row r="4" spans="1:20" s="32" customFormat="1" x14ac:dyDescent="0.25">
      <c r="A4" s="153" t="s">
        <v>14</v>
      </c>
      <c r="B4" s="154">
        <v>0</v>
      </c>
      <c r="C4" s="155">
        <v>0</v>
      </c>
      <c r="D4" s="155">
        <v>0</v>
      </c>
      <c r="E4" s="155">
        <v>0</v>
      </c>
      <c r="F4" s="155">
        <v>0</v>
      </c>
      <c r="G4" s="155">
        <v>0</v>
      </c>
      <c r="H4" s="155">
        <v>0</v>
      </c>
      <c r="I4" s="155">
        <v>0</v>
      </c>
      <c r="J4" s="155">
        <v>0</v>
      </c>
      <c r="K4" s="155">
        <v>0</v>
      </c>
      <c r="L4" s="155">
        <v>0</v>
      </c>
      <c r="M4" s="155">
        <v>0</v>
      </c>
      <c r="N4" s="156"/>
      <c r="O4" s="157">
        <f>SUM(C4:M4)</f>
        <v>0</v>
      </c>
      <c r="P4" s="155">
        <f>B4</f>
        <v>0</v>
      </c>
      <c r="Q4" s="157">
        <f>P4-O4</f>
        <v>0</v>
      </c>
      <c r="R4" s="158">
        <f>IFERROR(Q4/P4,0)</f>
        <v>0</v>
      </c>
    </row>
    <row r="5" spans="1:20" ht="15" x14ac:dyDescent="0.25">
      <c r="A5" s="62" t="s">
        <v>361</v>
      </c>
      <c r="B5" s="65"/>
      <c r="C5" s="169"/>
      <c r="D5" s="169"/>
      <c r="E5" s="169"/>
      <c r="F5" s="169"/>
      <c r="G5" s="169"/>
      <c r="H5" s="169"/>
      <c r="I5" s="169"/>
      <c r="J5" s="169"/>
      <c r="K5" s="169"/>
      <c r="L5" s="169"/>
      <c r="M5" s="169"/>
      <c r="N5" s="1"/>
      <c r="O5" s="170"/>
      <c r="P5" s="169"/>
      <c r="Q5" s="170"/>
      <c r="R5" s="68"/>
    </row>
    <row r="6" spans="1:20" x14ac:dyDescent="0.25">
      <c r="A6" s="153" t="s">
        <v>362</v>
      </c>
      <c r="B6" s="154">
        <v>750</v>
      </c>
      <c r="C6" s="155">
        <v>0</v>
      </c>
      <c r="D6" s="155">
        <v>0</v>
      </c>
      <c r="E6" s="155">
        <v>0</v>
      </c>
      <c r="F6" s="155">
        <v>0</v>
      </c>
      <c r="G6" s="155">
        <v>0</v>
      </c>
      <c r="H6" s="155">
        <v>0</v>
      </c>
      <c r="I6" s="155">
        <v>0</v>
      </c>
      <c r="J6" s="155">
        <v>0</v>
      </c>
      <c r="K6" s="155">
        <v>0</v>
      </c>
      <c r="L6" s="155">
        <v>0</v>
      </c>
      <c r="M6" s="155">
        <v>0</v>
      </c>
      <c r="N6" s="159"/>
      <c r="O6" s="155">
        <f>SUM(C6:M6)</f>
        <v>0</v>
      </c>
      <c r="P6" s="155">
        <f>B6</f>
        <v>750</v>
      </c>
      <c r="Q6" s="155">
        <f>P6-O6</f>
        <v>750</v>
      </c>
      <c r="R6" s="160">
        <f>IFERROR(Q6/P6,0)</f>
        <v>1</v>
      </c>
      <c r="S6" s="95"/>
      <c r="T6" s="95"/>
    </row>
    <row r="7" spans="1:20" x14ac:dyDescent="0.25">
      <c r="A7" s="153" t="s">
        <v>22</v>
      </c>
      <c r="B7" s="154">
        <v>9300</v>
      </c>
      <c r="C7" s="155">
        <v>0</v>
      </c>
      <c r="D7" s="155">
        <v>0</v>
      </c>
      <c r="E7" s="155">
        <v>0</v>
      </c>
      <c r="F7" s="155">
        <v>0</v>
      </c>
      <c r="G7" s="155">
        <v>0</v>
      </c>
      <c r="H7" s="155">
        <v>0</v>
      </c>
      <c r="I7" s="155">
        <v>0</v>
      </c>
      <c r="J7" s="155">
        <v>0</v>
      </c>
      <c r="K7" s="155">
        <v>0</v>
      </c>
      <c r="L7" s="155">
        <v>0</v>
      </c>
      <c r="M7" s="155">
        <v>0</v>
      </c>
      <c r="N7" s="159"/>
      <c r="O7" s="155">
        <f>SUM(C7:M7)</f>
        <v>0</v>
      </c>
      <c r="P7" s="155">
        <f>B7</f>
        <v>9300</v>
      </c>
      <c r="Q7" s="155">
        <f>P7-O7</f>
        <v>9300</v>
      </c>
      <c r="R7" s="160">
        <f>IFERROR(Q7/P7,0)</f>
        <v>1</v>
      </c>
      <c r="S7" s="95"/>
      <c r="T7" s="95"/>
    </row>
    <row r="8" spans="1:20" x14ac:dyDescent="0.25">
      <c r="A8" s="153" t="s">
        <v>363</v>
      </c>
      <c r="B8" s="154">
        <v>300</v>
      </c>
      <c r="C8" s="155">
        <v>0</v>
      </c>
      <c r="D8" s="155">
        <v>0</v>
      </c>
      <c r="E8" s="155">
        <v>0</v>
      </c>
      <c r="F8" s="155">
        <v>0</v>
      </c>
      <c r="G8" s="155">
        <v>0</v>
      </c>
      <c r="H8" s="155">
        <v>0</v>
      </c>
      <c r="I8" s="155">
        <v>0</v>
      </c>
      <c r="J8" s="155">
        <v>0</v>
      </c>
      <c r="K8" s="155">
        <v>0</v>
      </c>
      <c r="L8" s="155">
        <v>0</v>
      </c>
      <c r="M8" s="155">
        <v>0</v>
      </c>
      <c r="N8" s="159"/>
      <c r="O8" s="155">
        <f>SUM(C8:M8)</f>
        <v>0</v>
      </c>
      <c r="P8" s="155">
        <f>B8</f>
        <v>300</v>
      </c>
      <c r="Q8" s="155">
        <f>P8-O8</f>
        <v>300</v>
      </c>
      <c r="R8" s="160">
        <f>IFERROR(Q8/P8,0)</f>
        <v>1</v>
      </c>
      <c r="S8" s="95"/>
      <c r="T8" s="95"/>
    </row>
    <row r="9" spans="1:20" x14ac:dyDescent="0.25">
      <c r="A9" s="153" t="s">
        <v>364</v>
      </c>
      <c r="B9" s="154">
        <v>0</v>
      </c>
      <c r="C9" s="155">
        <v>0</v>
      </c>
      <c r="D9" s="155">
        <v>0</v>
      </c>
      <c r="E9" s="155">
        <v>0</v>
      </c>
      <c r="F9" s="155">
        <v>0</v>
      </c>
      <c r="G9" s="155">
        <v>0</v>
      </c>
      <c r="H9" s="155">
        <v>0</v>
      </c>
      <c r="I9" s="155">
        <v>0</v>
      </c>
      <c r="J9" s="155">
        <v>0</v>
      </c>
      <c r="K9" s="155">
        <v>0</v>
      </c>
      <c r="L9" s="155">
        <v>0</v>
      </c>
      <c r="M9" s="155">
        <v>0</v>
      </c>
      <c r="N9" s="159"/>
      <c r="O9" s="155">
        <f>SUM(C9:M9)</f>
        <v>0</v>
      </c>
      <c r="P9" s="155">
        <f>B9</f>
        <v>0</v>
      </c>
      <c r="Q9" s="155">
        <f>P9-O9</f>
        <v>0</v>
      </c>
      <c r="R9" s="160">
        <f>IFERROR(Q9/P9,0)</f>
        <v>0</v>
      </c>
      <c r="S9" s="95"/>
      <c r="T9" s="95"/>
    </row>
    <row r="10" spans="1:20" x14ac:dyDescent="0.25">
      <c r="A10" s="153" t="s">
        <v>365</v>
      </c>
      <c r="B10" s="154">
        <v>60</v>
      </c>
      <c r="C10" s="155"/>
      <c r="D10" s="155"/>
      <c r="E10" s="155"/>
      <c r="F10" s="155"/>
      <c r="G10" s="155"/>
      <c r="H10" s="155"/>
      <c r="I10" s="155"/>
      <c r="J10" s="155"/>
      <c r="K10" s="155"/>
      <c r="L10" s="155"/>
      <c r="M10" s="155"/>
      <c r="N10" s="159"/>
      <c r="O10" s="155"/>
      <c r="P10" s="155"/>
      <c r="Q10" s="155"/>
      <c r="R10" s="160"/>
      <c r="S10" s="95"/>
      <c r="T10" s="95"/>
    </row>
    <row r="11" spans="1:20" x14ac:dyDescent="0.25">
      <c r="A11" s="153" t="s">
        <v>366</v>
      </c>
      <c r="B11" s="154">
        <v>500</v>
      </c>
      <c r="C11" s="155">
        <v>0</v>
      </c>
      <c r="D11" s="155">
        <v>0</v>
      </c>
      <c r="E11" s="155">
        <v>0</v>
      </c>
      <c r="F11" s="155">
        <v>0</v>
      </c>
      <c r="G11" s="155">
        <v>0</v>
      </c>
      <c r="H11" s="155">
        <v>0</v>
      </c>
      <c r="I11" s="155">
        <v>0</v>
      </c>
      <c r="J11" s="155">
        <v>0</v>
      </c>
      <c r="K11" s="155">
        <v>0</v>
      </c>
      <c r="L11" s="155">
        <v>0</v>
      </c>
      <c r="M11" s="155">
        <v>0</v>
      </c>
      <c r="N11" s="159"/>
      <c r="O11" s="155">
        <f>SUM(C11:M11)</f>
        <v>0</v>
      </c>
      <c r="P11" s="155">
        <f>B11</f>
        <v>500</v>
      </c>
      <c r="Q11" s="155">
        <f>P11-O11</f>
        <v>500</v>
      </c>
      <c r="R11" s="160">
        <f>IFERROR(Q11/P11,0)</f>
        <v>1</v>
      </c>
      <c r="S11" s="95"/>
      <c r="T11" s="95"/>
    </row>
    <row r="12" spans="1:20" ht="15" x14ac:dyDescent="0.25">
      <c r="A12" s="62" t="s">
        <v>367</v>
      </c>
      <c r="B12" s="65"/>
      <c r="C12" s="151"/>
      <c r="D12" s="151"/>
      <c r="E12" s="151"/>
      <c r="F12" s="151"/>
      <c r="G12" s="151"/>
      <c r="H12" s="151"/>
      <c r="I12" s="151"/>
      <c r="J12" s="151"/>
      <c r="K12" s="151"/>
      <c r="L12" s="151"/>
      <c r="M12" s="151"/>
      <c r="N12" s="1"/>
      <c r="O12" s="152"/>
      <c r="P12" s="151"/>
      <c r="Q12" s="152"/>
      <c r="R12" s="68"/>
    </row>
    <row r="13" spans="1:20" s="167" customFormat="1" x14ac:dyDescent="0.25">
      <c r="A13" s="153" t="s">
        <v>154</v>
      </c>
      <c r="B13" s="154">
        <v>5000</v>
      </c>
      <c r="C13" s="155">
        <v>0</v>
      </c>
      <c r="D13" s="155">
        <v>0</v>
      </c>
      <c r="E13" s="155">
        <v>0</v>
      </c>
      <c r="F13" s="155">
        <v>0</v>
      </c>
      <c r="G13" s="155">
        <v>0</v>
      </c>
      <c r="H13" s="155">
        <v>0</v>
      </c>
      <c r="I13" s="155">
        <v>0</v>
      </c>
      <c r="J13" s="155">
        <v>0</v>
      </c>
      <c r="K13" s="155">
        <v>0</v>
      </c>
      <c r="L13" s="155">
        <v>0</v>
      </c>
      <c r="M13" s="155">
        <v>0</v>
      </c>
      <c r="N13" s="156"/>
      <c r="O13" s="157">
        <f>SUM(C13:M13)</f>
        <v>0</v>
      </c>
      <c r="P13" s="155">
        <f>B13</f>
        <v>5000</v>
      </c>
      <c r="Q13" s="157">
        <f>P13-O13</f>
        <v>5000</v>
      </c>
      <c r="R13" s="158">
        <f>IFERROR(Q13/P13,0)</f>
        <v>1</v>
      </c>
    </row>
    <row r="14" spans="1:20" s="167" customFormat="1" x14ac:dyDescent="0.25">
      <c r="A14" s="153" t="s">
        <v>155</v>
      </c>
      <c r="B14" s="154">
        <v>175</v>
      </c>
      <c r="C14" s="155">
        <v>0</v>
      </c>
      <c r="D14" s="155">
        <v>0</v>
      </c>
      <c r="E14" s="155">
        <v>0</v>
      </c>
      <c r="F14" s="155">
        <v>0</v>
      </c>
      <c r="G14" s="155">
        <v>0</v>
      </c>
      <c r="H14" s="155">
        <v>0</v>
      </c>
      <c r="I14" s="155">
        <v>0</v>
      </c>
      <c r="J14" s="155">
        <v>0</v>
      </c>
      <c r="K14" s="155">
        <v>0</v>
      </c>
      <c r="L14" s="155">
        <v>0</v>
      </c>
      <c r="M14" s="155">
        <v>0</v>
      </c>
      <c r="N14" s="156"/>
      <c r="O14" s="157">
        <f>SUM(C14:M14)</f>
        <v>0</v>
      </c>
      <c r="P14" s="155">
        <f>B14</f>
        <v>175</v>
      </c>
      <c r="Q14" s="157">
        <f>P14-O14</f>
        <v>175</v>
      </c>
      <c r="R14" s="158">
        <f>IFERROR(Q14/P14,0)</f>
        <v>1</v>
      </c>
    </row>
    <row r="15" spans="1:20" s="167" customFormat="1" x14ac:dyDescent="0.25">
      <c r="A15" s="153" t="s">
        <v>368</v>
      </c>
      <c r="B15" s="154">
        <v>751.5</v>
      </c>
      <c r="C15" s="155">
        <v>0</v>
      </c>
      <c r="D15" s="155">
        <v>0</v>
      </c>
      <c r="E15" s="155">
        <v>0</v>
      </c>
      <c r="F15" s="155">
        <v>0</v>
      </c>
      <c r="G15" s="155">
        <v>0</v>
      </c>
      <c r="H15" s="155">
        <v>0</v>
      </c>
      <c r="I15" s="155">
        <v>0</v>
      </c>
      <c r="J15" s="155">
        <v>0</v>
      </c>
      <c r="K15" s="155">
        <v>0</v>
      </c>
      <c r="L15" s="155">
        <v>0</v>
      </c>
      <c r="M15" s="155">
        <v>0</v>
      </c>
      <c r="N15" s="156"/>
      <c r="O15" s="157">
        <f>SUM(C15:M15)</f>
        <v>0</v>
      </c>
      <c r="P15" s="155">
        <f>B15</f>
        <v>751.5</v>
      </c>
      <c r="Q15" s="157">
        <f>P15-O15</f>
        <v>751.5</v>
      </c>
      <c r="R15" s="158">
        <f>IFERROR(Q15/P15,0)</f>
        <v>1</v>
      </c>
    </row>
    <row r="16" spans="1:20" s="31" customFormat="1" ht="15" x14ac:dyDescent="0.25">
      <c r="A16" s="168" t="s">
        <v>369</v>
      </c>
      <c r="B16" s="54"/>
      <c r="C16" s="72"/>
      <c r="D16" s="72"/>
      <c r="E16" s="72"/>
      <c r="F16" s="72"/>
      <c r="G16" s="72"/>
      <c r="H16" s="72"/>
      <c r="I16" s="72"/>
      <c r="J16" s="72"/>
      <c r="K16" s="72"/>
      <c r="L16" s="72"/>
      <c r="M16" s="72"/>
      <c r="N16" s="72"/>
      <c r="O16" s="74"/>
      <c r="P16" s="74"/>
      <c r="Q16" s="74"/>
      <c r="R16" s="75"/>
    </row>
    <row r="17" spans="1:18" s="166" customFormat="1" ht="15" x14ac:dyDescent="0.25">
      <c r="A17" s="161" t="s">
        <v>135</v>
      </c>
      <c r="B17" s="162"/>
      <c r="C17" s="163"/>
      <c r="D17" s="163"/>
      <c r="E17" s="163"/>
      <c r="F17" s="163"/>
      <c r="G17" s="163"/>
      <c r="H17" s="163"/>
      <c r="I17" s="163"/>
      <c r="J17" s="163"/>
      <c r="K17" s="163"/>
      <c r="L17" s="163"/>
      <c r="M17" s="163"/>
      <c r="N17" s="156"/>
      <c r="O17" s="164"/>
      <c r="P17" s="163"/>
      <c r="Q17" s="164"/>
      <c r="R17" s="165"/>
    </row>
    <row r="18" spans="1:18" s="166" customFormat="1" x14ac:dyDescent="0.25">
      <c r="A18" s="153" t="s">
        <v>370</v>
      </c>
      <c r="B18" s="154">
        <v>3500</v>
      </c>
      <c r="C18" s="155">
        <v>0</v>
      </c>
      <c r="D18" s="155">
        <v>0</v>
      </c>
      <c r="E18" s="155">
        <v>0</v>
      </c>
      <c r="F18" s="155">
        <v>0</v>
      </c>
      <c r="G18" s="155">
        <v>0</v>
      </c>
      <c r="H18" s="155">
        <v>0</v>
      </c>
      <c r="I18" s="155">
        <v>0</v>
      </c>
      <c r="J18" s="155">
        <v>0</v>
      </c>
      <c r="K18" s="155">
        <v>0</v>
      </c>
      <c r="L18" s="155">
        <v>0</v>
      </c>
      <c r="M18" s="155">
        <v>0</v>
      </c>
      <c r="N18" s="156"/>
      <c r="O18" s="157">
        <f t="shared" ref="O18:O23" si="0">SUM(C18:M18)</f>
        <v>0</v>
      </c>
      <c r="P18" s="155">
        <f t="shared" ref="P18:P23" si="1">B18</f>
        <v>3500</v>
      </c>
      <c r="Q18" s="157">
        <f t="shared" ref="Q18:Q23" si="2">P18-O18</f>
        <v>3500</v>
      </c>
      <c r="R18" s="158">
        <f t="shared" ref="R18:R23" si="3">IFERROR(Q18/P18,0)</f>
        <v>1</v>
      </c>
    </row>
    <row r="19" spans="1:18" s="166" customFormat="1" x14ac:dyDescent="0.25">
      <c r="A19" s="153" t="s">
        <v>371</v>
      </c>
      <c r="B19" s="154">
        <v>3500</v>
      </c>
      <c r="C19" s="155">
        <v>0</v>
      </c>
      <c r="D19" s="155">
        <v>0</v>
      </c>
      <c r="E19" s="155">
        <v>0</v>
      </c>
      <c r="F19" s="155">
        <v>0</v>
      </c>
      <c r="G19" s="155">
        <v>0</v>
      </c>
      <c r="H19" s="155">
        <v>0</v>
      </c>
      <c r="I19" s="155">
        <v>0</v>
      </c>
      <c r="J19" s="155">
        <v>0</v>
      </c>
      <c r="K19" s="155">
        <v>0</v>
      </c>
      <c r="L19" s="155">
        <v>0</v>
      </c>
      <c r="M19" s="155">
        <v>0</v>
      </c>
      <c r="N19" s="156"/>
      <c r="O19" s="157">
        <f t="shared" si="0"/>
        <v>0</v>
      </c>
      <c r="P19" s="155">
        <f t="shared" si="1"/>
        <v>3500</v>
      </c>
      <c r="Q19" s="157">
        <f t="shared" si="2"/>
        <v>3500</v>
      </c>
      <c r="R19" s="158">
        <f t="shared" si="3"/>
        <v>1</v>
      </c>
    </row>
    <row r="20" spans="1:18" s="166" customFormat="1" x14ac:dyDescent="0.25">
      <c r="A20" s="153" t="s">
        <v>372</v>
      </c>
      <c r="B20" s="154">
        <v>2500</v>
      </c>
      <c r="C20" s="155">
        <v>0</v>
      </c>
      <c r="D20" s="155">
        <v>0</v>
      </c>
      <c r="E20" s="155">
        <v>0</v>
      </c>
      <c r="F20" s="155">
        <v>0</v>
      </c>
      <c r="G20" s="155">
        <v>0</v>
      </c>
      <c r="H20" s="155">
        <v>0</v>
      </c>
      <c r="I20" s="155">
        <v>0</v>
      </c>
      <c r="J20" s="155">
        <v>0</v>
      </c>
      <c r="K20" s="155">
        <v>0</v>
      </c>
      <c r="L20" s="155">
        <v>0</v>
      </c>
      <c r="M20" s="155">
        <v>0</v>
      </c>
      <c r="N20" s="156"/>
      <c r="O20" s="157">
        <f t="shared" si="0"/>
        <v>0</v>
      </c>
      <c r="P20" s="155">
        <f t="shared" si="1"/>
        <v>2500</v>
      </c>
      <c r="Q20" s="157">
        <f t="shared" si="2"/>
        <v>2500</v>
      </c>
      <c r="R20" s="158">
        <f t="shared" si="3"/>
        <v>1</v>
      </c>
    </row>
    <row r="21" spans="1:18" s="166" customFormat="1" x14ac:dyDescent="0.25">
      <c r="A21" s="153" t="s">
        <v>373</v>
      </c>
      <c r="B21" s="154">
        <v>18000</v>
      </c>
      <c r="C21" s="155">
        <v>0</v>
      </c>
      <c r="D21" s="155">
        <v>0</v>
      </c>
      <c r="E21" s="155">
        <v>0</v>
      </c>
      <c r="F21" s="155">
        <v>0</v>
      </c>
      <c r="G21" s="155">
        <v>0</v>
      </c>
      <c r="H21" s="155">
        <v>0</v>
      </c>
      <c r="I21" s="155">
        <v>0</v>
      </c>
      <c r="J21" s="155">
        <v>0</v>
      </c>
      <c r="K21" s="155">
        <v>0</v>
      </c>
      <c r="L21" s="155">
        <v>0</v>
      </c>
      <c r="M21" s="155">
        <v>0</v>
      </c>
      <c r="N21" s="156"/>
      <c r="O21" s="157">
        <f t="shared" si="0"/>
        <v>0</v>
      </c>
      <c r="P21" s="155">
        <f t="shared" si="1"/>
        <v>18000</v>
      </c>
      <c r="Q21" s="157">
        <f t="shared" si="2"/>
        <v>18000</v>
      </c>
      <c r="R21" s="158">
        <f t="shared" si="3"/>
        <v>1</v>
      </c>
    </row>
    <row r="22" spans="1:18" s="166" customFormat="1" x14ac:dyDescent="0.25">
      <c r="A22" s="153" t="s">
        <v>374</v>
      </c>
      <c r="B22" s="154">
        <v>15400</v>
      </c>
      <c r="C22" s="155">
        <v>0</v>
      </c>
      <c r="D22" s="155">
        <v>0</v>
      </c>
      <c r="E22" s="155">
        <v>0</v>
      </c>
      <c r="F22" s="155">
        <v>0</v>
      </c>
      <c r="G22" s="155">
        <v>400</v>
      </c>
      <c r="H22" s="155">
        <v>0</v>
      </c>
      <c r="I22" s="155">
        <v>0</v>
      </c>
      <c r="J22" s="155">
        <v>0</v>
      </c>
      <c r="K22" s="155">
        <v>0</v>
      </c>
      <c r="L22" s="155">
        <v>0</v>
      </c>
      <c r="M22" s="155">
        <v>0</v>
      </c>
      <c r="N22" s="156"/>
      <c r="O22" s="157">
        <f t="shared" si="0"/>
        <v>400</v>
      </c>
      <c r="P22" s="155">
        <f t="shared" si="1"/>
        <v>15400</v>
      </c>
      <c r="Q22" s="157">
        <f t="shared" si="2"/>
        <v>15000</v>
      </c>
      <c r="R22" s="158">
        <f t="shared" si="3"/>
        <v>0.97402597402597402</v>
      </c>
    </row>
    <row r="23" spans="1:18" s="166" customFormat="1" x14ac:dyDescent="0.25">
      <c r="A23" s="153" t="s">
        <v>375</v>
      </c>
      <c r="B23" s="154">
        <v>12000</v>
      </c>
      <c r="C23" s="155">
        <v>0</v>
      </c>
      <c r="D23" s="155">
        <v>0</v>
      </c>
      <c r="E23" s="155">
        <v>0</v>
      </c>
      <c r="F23" s="155">
        <v>0</v>
      </c>
      <c r="G23" s="155">
        <v>0</v>
      </c>
      <c r="H23" s="155">
        <v>0</v>
      </c>
      <c r="I23" s="155">
        <v>0</v>
      </c>
      <c r="J23" s="155">
        <v>0</v>
      </c>
      <c r="K23" s="155">
        <v>0</v>
      </c>
      <c r="L23" s="155">
        <v>0</v>
      </c>
      <c r="M23" s="155">
        <v>0</v>
      </c>
      <c r="N23" s="156"/>
      <c r="O23" s="157">
        <f t="shared" si="0"/>
        <v>0</v>
      </c>
      <c r="P23" s="155">
        <f t="shared" si="1"/>
        <v>12000</v>
      </c>
      <c r="Q23" s="157">
        <f t="shared" si="2"/>
        <v>12000</v>
      </c>
      <c r="R23" s="158">
        <f t="shared" si="3"/>
        <v>1</v>
      </c>
    </row>
    <row r="24" spans="1:18" ht="15" x14ac:dyDescent="0.25">
      <c r="A24" s="62" t="s">
        <v>150</v>
      </c>
      <c r="B24" s="65"/>
      <c r="C24" s="66"/>
      <c r="D24" s="66"/>
      <c r="E24" s="66"/>
      <c r="F24" s="66"/>
      <c r="G24" s="66"/>
      <c r="H24" s="66"/>
      <c r="I24" s="66"/>
      <c r="J24" s="66"/>
      <c r="K24" s="66"/>
      <c r="L24" s="66"/>
      <c r="M24" s="66"/>
      <c r="N24" s="1"/>
      <c r="O24" s="67"/>
      <c r="P24" s="66"/>
      <c r="Q24" s="67"/>
      <c r="R24" s="68"/>
    </row>
    <row r="25" spans="1:18" x14ac:dyDescent="0.25">
      <c r="A25" s="40" t="s">
        <v>376</v>
      </c>
      <c r="B25" s="41">
        <v>100</v>
      </c>
      <c r="C25" s="2">
        <v>0</v>
      </c>
      <c r="D25" s="2">
        <v>0</v>
      </c>
      <c r="E25" s="2">
        <v>0</v>
      </c>
      <c r="F25" s="2">
        <v>0</v>
      </c>
      <c r="G25" s="2">
        <v>0</v>
      </c>
      <c r="H25" s="2">
        <v>0</v>
      </c>
      <c r="I25" s="2">
        <v>0</v>
      </c>
      <c r="J25" s="2">
        <v>0</v>
      </c>
      <c r="K25" s="2">
        <v>0</v>
      </c>
      <c r="L25" s="2">
        <v>0</v>
      </c>
      <c r="M25" s="2">
        <v>0</v>
      </c>
      <c r="N25" s="1"/>
      <c r="O25" s="3">
        <f>SUM(C25:M25)</f>
        <v>0</v>
      </c>
      <c r="P25" s="2">
        <f>B25</f>
        <v>100</v>
      </c>
      <c r="Q25" s="3">
        <f>P25-O25</f>
        <v>100</v>
      </c>
      <c r="R25" s="4">
        <f>IFERROR(Q25/P25,0)</f>
        <v>1</v>
      </c>
    </row>
    <row r="26" spans="1:18" ht="15" x14ac:dyDescent="0.25">
      <c r="A26" s="62" t="s">
        <v>112</v>
      </c>
      <c r="B26" s="65"/>
      <c r="C26" s="151"/>
      <c r="D26" s="151"/>
      <c r="E26" s="151"/>
      <c r="F26" s="151"/>
      <c r="G26" s="151"/>
      <c r="H26" s="151"/>
      <c r="I26" s="151"/>
      <c r="J26" s="151"/>
      <c r="K26" s="151"/>
      <c r="L26" s="151"/>
      <c r="M26" s="151"/>
      <c r="N26" s="1"/>
      <c r="O26" s="152"/>
      <c r="P26" s="151"/>
      <c r="Q26" s="152"/>
      <c r="R26" s="68"/>
    </row>
    <row r="27" spans="1:18" s="167" customFormat="1" x14ac:dyDescent="0.25">
      <c r="A27" s="153" t="s">
        <v>114</v>
      </c>
      <c r="B27" s="154">
        <v>7920</v>
      </c>
      <c r="C27" s="155">
        <v>0</v>
      </c>
      <c r="D27" s="155">
        <v>0</v>
      </c>
      <c r="E27" s="155">
        <v>0</v>
      </c>
      <c r="F27" s="155">
        <v>0</v>
      </c>
      <c r="G27" s="155">
        <v>0</v>
      </c>
      <c r="H27" s="155">
        <v>0</v>
      </c>
      <c r="I27" s="155">
        <v>0</v>
      </c>
      <c r="J27" s="155">
        <v>0</v>
      </c>
      <c r="K27" s="155">
        <v>0</v>
      </c>
      <c r="L27" s="155">
        <v>0</v>
      </c>
      <c r="M27" s="155">
        <v>0</v>
      </c>
      <c r="N27" s="156"/>
      <c r="O27" s="157">
        <f t="shared" ref="O27:O32" si="4">SUM(C27:M27)</f>
        <v>0</v>
      </c>
      <c r="P27" s="155">
        <f t="shared" ref="P27:P32" si="5">B27</f>
        <v>7920</v>
      </c>
      <c r="Q27" s="157">
        <f t="shared" ref="Q27:Q32" si="6">P27-O27</f>
        <v>7920</v>
      </c>
      <c r="R27" s="158">
        <f t="shared" ref="R27:R32" si="7">IFERROR(Q27/P27,0)</f>
        <v>1</v>
      </c>
    </row>
    <row r="28" spans="1:18" s="167" customFormat="1" x14ac:dyDescent="0.25">
      <c r="A28" s="153" t="s">
        <v>113</v>
      </c>
      <c r="B28" s="154">
        <v>29627.66</v>
      </c>
      <c r="C28" s="155">
        <v>0</v>
      </c>
      <c r="D28" s="155">
        <v>0</v>
      </c>
      <c r="E28" s="155">
        <v>0</v>
      </c>
      <c r="F28" s="155">
        <v>0</v>
      </c>
      <c r="G28" s="155">
        <v>0</v>
      </c>
      <c r="H28" s="155">
        <v>0</v>
      </c>
      <c r="I28" s="155">
        <v>0</v>
      </c>
      <c r="J28" s="155">
        <v>0</v>
      </c>
      <c r="K28" s="155">
        <v>0</v>
      </c>
      <c r="L28" s="155">
        <v>0</v>
      </c>
      <c r="M28" s="155">
        <v>0</v>
      </c>
      <c r="N28" s="156"/>
      <c r="O28" s="157">
        <f t="shared" si="4"/>
        <v>0</v>
      </c>
      <c r="P28" s="155">
        <f t="shared" si="5"/>
        <v>29627.66</v>
      </c>
      <c r="Q28" s="157">
        <f t="shared" si="6"/>
        <v>29627.66</v>
      </c>
      <c r="R28" s="158">
        <f t="shared" si="7"/>
        <v>1</v>
      </c>
    </row>
    <row r="29" spans="1:18" s="167" customFormat="1" x14ac:dyDescent="0.25">
      <c r="A29" s="153" t="s">
        <v>18</v>
      </c>
      <c r="B29" s="154">
        <v>1623.27</v>
      </c>
      <c r="C29" s="155">
        <v>0</v>
      </c>
      <c r="D29" s="155">
        <v>0</v>
      </c>
      <c r="E29" s="155">
        <v>0</v>
      </c>
      <c r="F29" s="155">
        <v>0</v>
      </c>
      <c r="G29" s="155">
        <v>0</v>
      </c>
      <c r="H29" s="155">
        <v>0</v>
      </c>
      <c r="I29" s="155">
        <v>0</v>
      </c>
      <c r="J29" s="155">
        <v>0</v>
      </c>
      <c r="K29" s="155">
        <v>0</v>
      </c>
      <c r="L29" s="155">
        <v>0</v>
      </c>
      <c r="M29" s="155">
        <v>0</v>
      </c>
      <c r="N29" s="156"/>
      <c r="O29" s="157">
        <f t="shared" si="4"/>
        <v>0</v>
      </c>
      <c r="P29" s="155">
        <f t="shared" si="5"/>
        <v>1623.27</v>
      </c>
      <c r="Q29" s="157">
        <f t="shared" si="6"/>
        <v>1623.27</v>
      </c>
      <c r="R29" s="158">
        <f t="shared" si="7"/>
        <v>1</v>
      </c>
    </row>
    <row r="30" spans="1:18" s="167" customFormat="1" x14ac:dyDescent="0.25">
      <c r="A30" s="153" t="s">
        <v>116</v>
      </c>
      <c r="B30" s="154">
        <v>730</v>
      </c>
      <c r="C30" s="155">
        <v>0</v>
      </c>
      <c r="D30" s="155">
        <v>0</v>
      </c>
      <c r="E30" s="155">
        <v>0</v>
      </c>
      <c r="F30" s="155">
        <v>0</v>
      </c>
      <c r="G30" s="155">
        <v>0</v>
      </c>
      <c r="H30" s="155">
        <v>0</v>
      </c>
      <c r="I30" s="155">
        <v>0</v>
      </c>
      <c r="J30" s="155">
        <v>0</v>
      </c>
      <c r="K30" s="155">
        <v>0</v>
      </c>
      <c r="L30" s="155">
        <v>0</v>
      </c>
      <c r="M30" s="155">
        <v>0</v>
      </c>
      <c r="N30" s="156"/>
      <c r="O30" s="157">
        <f t="shared" si="4"/>
        <v>0</v>
      </c>
      <c r="P30" s="155">
        <f t="shared" si="5"/>
        <v>730</v>
      </c>
      <c r="Q30" s="157">
        <f t="shared" si="6"/>
        <v>730</v>
      </c>
      <c r="R30" s="158">
        <f t="shared" si="7"/>
        <v>1</v>
      </c>
    </row>
    <row r="31" spans="1:18" s="167" customFormat="1" x14ac:dyDescent="0.25">
      <c r="A31" s="153" t="s">
        <v>377</v>
      </c>
      <c r="B31" s="154">
        <v>1825</v>
      </c>
      <c r="C31" s="155">
        <v>0</v>
      </c>
      <c r="D31" s="155">
        <v>0</v>
      </c>
      <c r="E31" s="155">
        <v>0</v>
      </c>
      <c r="F31" s="155">
        <v>0</v>
      </c>
      <c r="G31" s="155">
        <v>0</v>
      </c>
      <c r="H31" s="155">
        <v>0</v>
      </c>
      <c r="I31" s="155">
        <v>0</v>
      </c>
      <c r="J31" s="155">
        <v>0</v>
      </c>
      <c r="K31" s="155">
        <v>0</v>
      </c>
      <c r="L31" s="155">
        <v>0</v>
      </c>
      <c r="M31" s="155">
        <v>0</v>
      </c>
      <c r="N31" s="156"/>
      <c r="O31" s="157">
        <f t="shared" si="4"/>
        <v>0</v>
      </c>
      <c r="P31" s="155">
        <f t="shared" si="5"/>
        <v>1825</v>
      </c>
      <c r="Q31" s="157">
        <f t="shared" si="6"/>
        <v>1825</v>
      </c>
      <c r="R31" s="158">
        <f t="shared" si="7"/>
        <v>1</v>
      </c>
    </row>
    <row r="32" spans="1:18" s="167" customFormat="1" x14ac:dyDescent="0.25">
      <c r="A32" s="153" t="s">
        <v>115</v>
      </c>
      <c r="B32" s="154">
        <v>500</v>
      </c>
      <c r="C32" s="155">
        <v>0</v>
      </c>
      <c r="D32" s="155">
        <v>0</v>
      </c>
      <c r="E32" s="155">
        <v>0</v>
      </c>
      <c r="F32" s="155">
        <v>0</v>
      </c>
      <c r="G32" s="155">
        <v>0</v>
      </c>
      <c r="H32" s="155">
        <v>0</v>
      </c>
      <c r="I32" s="155">
        <v>0</v>
      </c>
      <c r="J32" s="155">
        <v>0</v>
      </c>
      <c r="K32" s="155">
        <v>0</v>
      </c>
      <c r="L32" s="155">
        <v>0</v>
      </c>
      <c r="M32" s="155">
        <v>0</v>
      </c>
      <c r="N32" s="156"/>
      <c r="O32" s="157">
        <f t="shared" si="4"/>
        <v>0</v>
      </c>
      <c r="P32" s="155">
        <f t="shared" si="5"/>
        <v>500</v>
      </c>
      <c r="Q32" s="157">
        <f t="shared" si="6"/>
        <v>500</v>
      </c>
      <c r="R32" s="158">
        <f t="shared" si="7"/>
        <v>1</v>
      </c>
    </row>
    <row r="33" spans="1:25" s="31" customFormat="1" ht="15" x14ac:dyDescent="0.25">
      <c r="A33" s="168" t="s">
        <v>378</v>
      </c>
      <c r="B33" s="54"/>
      <c r="C33" s="72"/>
      <c r="D33" s="72"/>
      <c r="E33" s="72"/>
      <c r="F33" s="72"/>
      <c r="G33" s="72"/>
      <c r="H33" s="72"/>
      <c r="I33" s="72"/>
      <c r="J33" s="72"/>
      <c r="K33" s="72"/>
      <c r="L33" s="72"/>
      <c r="M33" s="72"/>
      <c r="N33" s="72"/>
      <c r="O33" s="74"/>
      <c r="P33" s="74"/>
      <c r="Q33" s="74"/>
      <c r="R33" s="75"/>
    </row>
    <row r="34" spans="1:25" ht="15" x14ac:dyDescent="0.25">
      <c r="A34" s="62" t="s">
        <v>139</v>
      </c>
      <c r="B34" s="65"/>
      <c r="C34" s="151"/>
      <c r="D34" s="151"/>
      <c r="E34" s="151"/>
      <c r="F34" s="151"/>
      <c r="G34" s="151"/>
      <c r="H34" s="151"/>
      <c r="I34" s="151"/>
      <c r="J34" s="151"/>
      <c r="K34" s="151"/>
      <c r="L34" s="151"/>
      <c r="M34" s="151"/>
      <c r="N34" s="1"/>
      <c r="O34" s="152"/>
      <c r="P34" s="151"/>
      <c r="Q34" s="152"/>
      <c r="R34" s="68"/>
    </row>
    <row r="35" spans="1:25" x14ac:dyDescent="0.25">
      <c r="A35" s="153" t="s">
        <v>379</v>
      </c>
      <c r="B35" s="154">
        <v>150</v>
      </c>
      <c r="C35" s="155">
        <v>0</v>
      </c>
      <c r="D35" s="155">
        <v>0</v>
      </c>
      <c r="E35" s="155">
        <v>0</v>
      </c>
      <c r="F35" s="155">
        <v>0</v>
      </c>
      <c r="G35" s="155">
        <v>0</v>
      </c>
      <c r="H35" s="155">
        <v>0</v>
      </c>
      <c r="I35" s="155">
        <v>0</v>
      </c>
      <c r="J35" s="155">
        <v>0</v>
      </c>
      <c r="K35" s="155">
        <v>0</v>
      </c>
      <c r="L35" s="155">
        <v>0</v>
      </c>
      <c r="M35" s="155">
        <v>0</v>
      </c>
      <c r="N35" s="156"/>
      <c r="O35" s="157">
        <f>SUM(C35:M35)</f>
        <v>0</v>
      </c>
      <c r="P35" s="155">
        <f>B35</f>
        <v>150</v>
      </c>
      <c r="Q35" s="157">
        <f t="shared" ref="Q35:Q39" si="8">P35-O35</f>
        <v>150</v>
      </c>
      <c r="R35" s="158">
        <f t="shared" ref="R35:R39" si="9">IFERROR(Q35/P35,0)</f>
        <v>1</v>
      </c>
      <c r="S35" s="32"/>
      <c r="T35" s="32"/>
      <c r="U35" s="32"/>
      <c r="V35" s="32"/>
      <c r="W35" s="32"/>
      <c r="X35" s="32"/>
      <c r="Y35" s="32"/>
    </row>
    <row r="36" spans="1:25" x14ac:dyDescent="0.25">
      <c r="A36" s="153" t="s">
        <v>14</v>
      </c>
      <c r="B36" s="154">
        <v>335</v>
      </c>
      <c r="C36" s="155">
        <v>0</v>
      </c>
      <c r="D36" s="155">
        <v>0</v>
      </c>
      <c r="E36" s="155">
        <v>0</v>
      </c>
      <c r="F36" s="155">
        <v>0</v>
      </c>
      <c r="G36" s="155">
        <v>0</v>
      </c>
      <c r="H36" s="155">
        <v>0</v>
      </c>
      <c r="I36" s="155">
        <v>0</v>
      </c>
      <c r="J36" s="155">
        <v>0</v>
      </c>
      <c r="K36" s="155">
        <v>0</v>
      </c>
      <c r="L36" s="155">
        <v>0</v>
      </c>
      <c r="M36" s="155">
        <v>0</v>
      </c>
      <c r="N36" s="156"/>
      <c r="O36" s="157">
        <f>SUM(C36:M36)</f>
        <v>0</v>
      </c>
      <c r="P36" s="155">
        <f>B36</f>
        <v>335</v>
      </c>
      <c r="Q36" s="157">
        <f t="shared" si="8"/>
        <v>335</v>
      </c>
      <c r="R36" s="158">
        <f t="shared" si="9"/>
        <v>1</v>
      </c>
    </row>
    <row r="37" spans="1:25" s="32" customFormat="1" x14ac:dyDescent="0.25">
      <c r="A37" s="153" t="s">
        <v>143</v>
      </c>
      <c r="B37" s="154">
        <v>1111</v>
      </c>
      <c r="C37" s="155">
        <v>0</v>
      </c>
      <c r="D37" s="155">
        <v>0</v>
      </c>
      <c r="E37" s="155">
        <v>0</v>
      </c>
      <c r="F37" s="155">
        <v>0</v>
      </c>
      <c r="G37" s="155">
        <v>0</v>
      </c>
      <c r="H37" s="155">
        <v>0</v>
      </c>
      <c r="I37" s="155">
        <v>0</v>
      </c>
      <c r="J37" s="155">
        <v>0</v>
      </c>
      <c r="K37" s="155">
        <v>0</v>
      </c>
      <c r="L37" s="155">
        <v>0</v>
      </c>
      <c r="M37" s="155">
        <v>0</v>
      </c>
      <c r="N37" s="156"/>
      <c r="O37" s="157">
        <f>SUM(C37:M37)</f>
        <v>0</v>
      </c>
      <c r="P37" s="155">
        <f>B37</f>
        <v>1111</v>
      </c>
      <c r="Q37" s="157">
        <f t="shared" si="8"/>
        <v>1111</v>
      </c>
      <c r="R37" s="158">
        <f t="shared" si="9"/>
        <v>1</v>
      </c>
    </row>
    <row r="38" spans="1:25" x14ac:dyDescent="0.25">
      <c r="A38" s="153" t="s">
        <v>144</v>
      </c>
      <c r="B38" s="154">
        <v>2002.53</v>
      </c>
      <c r="C38" s="155">
        <v>0</v>
      </c>
      <c r="D38" s="155">
        <v>0</v>
      </c>
      <c r="E38" s="155">
        <v>0</v>
      </c>
      <c r="F38" s="155">
        <v>0</v>
      </c>
      <c r="G38" s="155">
        <v>0</v>
      </c>
      <c r="H38" s="155">
        <v>0</v>
      </c>
      <c r="I38" s="155">
        <v>0</v>
      </c>
      <c r="J38" s="155">
        <v>0</v>
      </c>
      <c r="K38" s="155">
        <v>0</v>
      </c>
      <c r="L38" s="155">
        <v>0</v>
      </c>
      <c r="M38" s="155">
        <v>0</v>
      </c>
      <c r="N38" s="156"/>
      <c r="O38" s="157">
        <f>SUM(C38:M38)</f>
        <v>0</v>
      </c>
      <c r="P38" s="155">
        <f>B38</f>
        <v>2002.53</v>
      </c>
      <c r="Q38" s="157">
        <f t="shared" si="8"/>
        <v>2002.53</v>
      </c>
      <c r="R38" s="158">
        <f t="shared" si="9"/>
        <v>1</v>
      </c>
    </row>
    <row r="39" spans="1:25" x14ac:dyDescent="0.25">
      <c r="A39" s="153" t="s">
        <v>380</v>
      </c>
      <c r="B39" s="154">
        <v>5000</v>
      </c>
      <c r="C39" s="155">
        <v>0</v>
      </c>
      <c r="D39" s="155">
        <v>0</v>
      </c>
      <c r="E39" s="155">
        <v>0</v>
      </c>
      <c r="F39" s="155">
        <v>0</v>
      </c>
      <c r="G39" s="155">
        <v>0</v>
      </c>
      <c r="H39" s="155">
        <v>0</v>
      </c>
      <c r="I39" s="155">
        <v>0</v>
      </c>
      <c r="J39" s="155">
        <v>0</v>
      </c>
      <c r="K39" s="155">
        <v>0</v>
      </c>
      <c r="L39" s="155">
        <v>0</v>
      </c>
      <c r="M39" s="155">
        <v>0</v>
      </c>
      <c r="N39" s="156"/>
      <c r="O39" s="157">
        <f>SUM(C39:M39)</f>
        <v>0</v>
      </c>
      <c r="P39" s="155">
        <f>B39</f>
        <v>5000</v>
      </c>
      <c r="Q39" s="157">
        <f t="shared" si="8"/>
        <v>5000</v>
      </c>
      <c r="R39" s="158">
        <f t="shared" si="9"/>
        <v>1</v>
      </c>
    </row>
    <row r="40" spans="1:25" ht="15" x14ac:dyDescent="0.25">
      <c r="A40" s="62" t="s">
        <v>97</v>
      </c>
      <c r="B40" s="65"/>
      <c r="C40" s="169"/>
      <c r="D40" s="169"/>
      <c r="E40" s="169"/>
      <c r="F40" s="169"/>
      <c r="G40" s="169"/>
      <c r="H40" s="169"/>
      <c r="I40" s="169"/>
      <c r="J40" s="169"/>
      <c r="K40" s="169"/>
      <c r="L40" s="169"/>
      <c r="M40" s="169"/>
      <c r="N40" s="1"/>
      <c r="O40" s="170"/>
      <c r="P40" s="169"/>
      <c r="Q40" s="170"/>
      <c r="R40" s="68"/>
    </row>
    <row r="41" spans="1:25" x14ac:dyDescent="0.25">
      <c r="A41" s="153" t="s">
        <v>381</v>
      </c>
      <c r="B41" s="154">
        <v>25267.75</v>
      </c>
      <c r="C41" s="155">
        <v>0</v>
      </c>
      <c r="D41" s="155">
        <f>1187.5+3681.25+1045+285+2484+4250+4250+500+585+6500+500</f>
        <v>25267.75</v>
      </c>
      <c r="E41" s="155">
        <v>0</v>
      </c>
      <c r="F41" s="155">
        <v>0</v>
      </c>
      <c r="G41" s="155">
        <v>0</v>
      </c>
      <c r="H41" s="155">
        <v>0</v>
      </c>
      <c r="I41" s="155">
        <v>0</v>
      </c>
      <c r="J41" s="155">
        <v>0</v>
      </c>
      <c r="K41" s="155">
        <v>0</v>
      </c>
      <c r="L41" s="155">
        <v>0</v>
      </c>
      <c r="M41" s="155">
        <v>0</v>
      </c>
      <c r="N41" s="156"/>
      <c r="O41" s="157">
        <f>SUM(C41:M41)</f>
        <v>25267.75</v>
      </c>
      <c r="P41" s="155">
        <f>B41</f>
        <v>25267.75</v>
      </c>
      <c r="Q41" s="157">
        <f>P41-O41</f>
        <v>0</v>
      </c>
      <c r="R41" s="4">
        <f>IFERROR(Q41/P41,0)</f>
        <v>0</v>
      </c>
    </row>
    <row r="42" spans="1:25" x14ac:dyDescent="0.25">
      <c r="A42" s="153" t="s">
        <v>303</v>
      </c>
      <c r="B42" s="154">
        <v>1500</v>
      </c>
      <c r="C42" s="155">
        <v>0</v>
      </c>
      <c r="D42" s="155">
        <v>1500</v>
      </c>
      <c r="E42" s="155">
        <v>0</v>
      </c>
      <c r="F42" s="155">
        <v>0</v>
      </c>
      <c r="G42" s="155">
        <v>0</v>
      </c>
      <c r="H42" s="155">
        <v>0</v>
      </c>
      <c r="I42" s="155">
        <v>0</v>
      </c>
      <c r="J42" s="155">
        <v>0</v>
      </c>
      <c r="K42" s="155">
        <v>0</v>
      </c>
      <c r="L42" s="155">
        <v>0</v>
      </c>
      <c r="M42" s="155">
        <v>0</v>
      </c>
      <c r="N42" s="156"/>
      <c r="O42" s="157">
        <f>SUM(C42:M42)</f>
        <v>1500</v>
      </c>
      <c r="P42" s="155">
        <f>B42</f>
        <v>1500</v>
      </c>
      <c r="Q42" s="157">
        <f>P42-O42</f>
        <v>0</v>
      </c>
      <c r="R42" s="4">
        <f>IFERROR(Q42/P42,0)</f>
        <v>0</v>
      </c>
      <c r="S42" s="32"/>
      <c r="T42" s="32"/>
      <c r="U42" s="32"/>
      <c r="V42" s="32"/>
      <c r="W42" s="32"/>
      <c r="X42" s="32"/>
      <c r="Y42" s="32"/>
    </row>
    <row r="43" spans="1:25" x14ac:dyDescent="0.25">
      <c r="A43" s="153" t="s">
        <v>99</v>
      </c>
      <c r="B43" s="154">
        <v>2850</v>
      </c>
      <c r="C43" s="155">
        <v>0</v>
      </c>
      <c r="D43" s="155">
        <v>0</v>
      </c>
      <c r="E43" s="155">
        <v>0</v>
      </c>
      <c r="F43" s="155">
        <v>0</v>
      </c>
      <c r="G43" s="155">
        <v>0</v>
      </c>
      <c r="H43" s="155">
        <v>0</v>
      </c>
      <c r="I43" s="155">
        <v>0</v>
      </c>
      <c r="J43" s="155">
        <v>0</v>
      </c>
      <c r="K43" s="155">
        <v>0</v>
      </c>
      <c r="L43" s="155">
        <v>0</v>
      </c>
      <c r="M43" s="155">
        <v>0</v>
      </c>
      <c r="N43" s="156"/>
      <c r="O43" s="157">
        <f>SUM(C43:M43)</f>
        <v>0</v>
      </c>
      <c r="P43" s="155">
        <f>B43</f>
        <v>2850</v>
      </c>
      <c r="Q43" s="157">
        <f>P43-O43</f>
        <v>2850</v>
      </c>
      <c r="R43" s="4">
        <f>IFERROR(Q43/P43,0)</f>
        <v>1</v>
      </c>
    </row>
    <row r="44" spans="1:25" s="32" customFormat="1" x14ac:dyDescent="0.25">
      <c r="A44" s="153" t="s">
        <v>302</v>
      </c>
      <c r="B44" s="154">
        <v>2670</v>
      </c>
      <c r="C44" s="155">
        <v>0</v>
      </c>
      <c r="D44" s="155">
        <v>2670</v>
      </c>
      <c r="E44" s="155">
        <v>0</v>
      </c>
      <c r="F44" s="155">
        <v>0</v>
      </c>
      <c r="G44" s="155">
        <v>0</v>
      </c>
      <c r="H44" s="155">
        <v>0</v>
      </c>
      <c r="I44" s="155">
        <v>0</v>
      </c>
      <c r="J44" s="155">
        <v>0</v>
      </c>
      <c r="K44" s="155">
        <v>0</v>
      </c>
      <c r="L44" s="155">
        <v>0</v>
      </c>
      <c r="M44" s="155">
        <v>0</v>
      </c>
      <c r="N44" s="156"/>
      <c r="O44" s="157">
        <f>SUM(C44:M44)</f>
        <v>2670</v>
      </c>
      <c r="P44" s="155">
        <f>B44</f>
        <v>2670</v>
      </c>
      <c r="Q44" s="157">
        <f>P44-O44</f>
        <v>0</v>
      </c>
      <c r="R44" s="4">
        <f>IFERROR(Q44/P44,0)</f>
        <v>0</v>
      </c>
      <c r="S44" s="34"/>
      <c r="T44" s="34"/>
      <c r="U44" s="34"/>
      <c r="V44" s="34"/>
      <c r="W44" s="34"/>
      <c r="X44" s="34"/>
      <c r="Y44" s="34"/>
    </row>
    <row r="45" spans="1:25" ht="15" x14ac:dyDescent="0.25">
      <c r="A45" s="62" t="s">
        <v>146</v>
      </c>
      <c r="B45" s="65"/>
      <c r="C45" s="151"/>
      <c r="D45" s="151"/>
      <c r="E45" s="151"/>
      <c r="F45" s="151"/>
      <c r="G45" s="151"/>
      <c r="H45" s="151"/>
      <c r="I45" s="151"/>
      <c r="J45" s="151"/>
      <c r="K45" s="151"/>
      <c r="L45" s="151"/>
      <c r="M45" s="151"/>
      <c r="N45" s="1"/>
      <c r="O45" s="152"/>
      <c r="P45" s="151"/>
      <c r="Q45" s="152"/>
      <c r="R45" s="68"/>
    </row>
    <row r="46" spans="1:25" s="166" customFormat="1" x14ac:dyDescent="0.25">
      <c r="A46" s="153" t="s">
        <v>382</v>
      </c>
      <c r="B46" s="154">
        <v>1000</v>
      </c>
      <c r="C46" s="155">
        <v>0</v>
      </c>
      <c r="D46" s="155">
        <v>0</v>
      </c>
      <c r="E46" s="155">
        <v>0</v>
      </c>
      <c r="F46" s="155">
        <v>0</v>
      </c>
      <c r="G46" s="155">
        <v>0</v>
      </c>
      <c r="H46" s="155">
        <v>0</v>
      </c>
      <c r="I46" s="155">
        <v>0</v>
      </c>
      <c r="J46" s="155">
        <v>0</v>
      </c>
      <c r="K46" s="155">
        <v>0</v>
      </c>
      <c r="L46" s="155">
        <v>0</v>
      </c>
      <c r="M46" s="155">
        <v>0</v>
      </c>
      <c r="N46" s="156"/>
      <c r="O46" s="157">
        <f t="shared" ref="O46:O52" si="10">SUM(C46:M46)</f>
        <v>0</v>
      </c>
      <c r="P46" s="155">
        <f t="shared" ref="P46:P52" si="11">B46</f>
        <v>1000</v>
      </c>
      <c r="Q46" s="157">
        <f t="shared" ref="Q46:Q52" si="12">P46-O46</f>
        <v>1000</v>
      </c>
      <c r="R46" s="158">
        <f t="shared" ref="R46:R52" si="13">IFERROR(Q46/P46,0)</f>
        <v>1</v>
      </c>
    </row>
    <row r="47" spans="1:25" s="167" customFormat="1" x14ac:dyDescent="0.25">
      <c r="A47" s="153" t="s">
        <v>16</v>
      </c>
      <c r="B47" s="154">
        <v>1930</v>
      </c>
      <c r="C47" s="155">
        <v>0</v>
      </c>
      <c r="D47" s="155">
        <v>0</v>
      </c>
      <c r="E47" s="155">
        <v>0</v>
      </c>
      <c r="F47" s="155">
        <v>0</v>
      </c>
      <c r="G47" s="155">
        <v>0</v>
      </c>
      <c r="H47" s="155">
        <v>0</v>
      </c>
      <c r="I47" s="155">
        <v>0</v>
      </c>
      <c r="J47" s="155">
        <v>0</v>
      </c>
      <c r="K47" s="155">
        <v>0</v>
      </c>
      <c r="L47" s="155">
        <v>0</v>
      </c>
      <c r="M47" s="155">
        <v>0</v>
      </c>
      <c r="N47" s="156"/>
      <c r="O47" s="157">
        <f t="shared" si="10"/>
        <v>0</v>
      </c>
      <c r="P47" s="155">
        <f t="shared" si="11"/>
        <v>1930</v>
      </c>
      <c r="Q47" s="157">
        <f t="shared" si="12"/>
        <v>1930</v>
      </c>
      <c r="R47" s="158">
        <f t="shared" si="13"/>
        <v>1</v>
      </c>
    </row>
    <row r="48" spans="1:25" s="166" customFormat="1" x14ac:dyDescent="0.25">
      <c r="A48" s="153" t="s">
        <v>383</v>
      </c>
      <c r="B48" s="154">
        <v>21364.81</v>
      </c>
      <c r="C48" s="155">
        <v>0</v>
      </c>
      <c r="D48" s="155">
        <v>0</v>
      </c>
      <c r="E48" s="155">
        <v>0</v>
      </c>
      <c r="F48" s="155">
        <v>0</v>
      </c>
      <c r="G48" s="155">
        <v>0</v>
      </c>
      <c r="H48" s="155">
        <v>0</v>
      </c>
      <c r="I48" s="155">
        <v>0</v>
      </c>
      <c r="J48" s="155">
        <v>0</v>
      </c>
      <c r="K48" s="155">
        <v>0</v>
      </c>
      <c r="L48" s="155">
        <v>0</v>
      </c>
      <c r="M48" s="155">
        <v>0</v>
      </c>
      <c r="N48" s="156"/>
      <c r="O48" s="157">
        <f t="shared" si="10"/>
        <v>0</v>
      </c>
      <c r="P48" s="155">
        <f t="shared" si="11"/>
        <v>21364.81</v>
      </c>
      <c r="Q48" s="157">
        <f t="shared" si="12"/>
        <v>21364.81</v>
      </c>
      <c r="R48" s="158">
        <f t="shared" si="13"/>
        <v>1</v>
      </c>
    </row>
    <row r="49" spans="1:25" s="166" customFormat="1" x14ac:dyDescent="0.25">
      <c r="A49" s="153" t="s">
        <v>384</v>
      </c>
      <c r="B49" s="154">
        <v>0</v>
      </c>
      <c r="C49" s="155">
        <v>0</v>
      </c>
      <c r="D49" s="155">
        <v>0</v>
      </c>
      <c r="E49" s="155">
        <v>0</v>
      </c>
      <c r="F49" s="155">
        <v>0</v>
      </c>
      <c r="G49" s="155">
        <v>0</v>
      </c>
      <c r="H49" s="155">
        <v>0</v>
      </c>
      <c r="I49" s="155">
        <v>0</v>
      </c>
      <c r="J49" s="155">
        <v>0</v>
      </c>
      <c r="K49" s="155">
        <v>0</v>
      </c>
      <c r="L49" s="155">
        <v>0</v>
      </c>
      <c r="M49" s="155">
        <v>0</v>
      </c>
      <c r="N49" s="156"/>
      <c r="O49" s="157">
        <f t="shared" si="10"/>
        <v>0</v>
      </c>
      <c r="P49" s="155">
        <f t="shared" si="11"/>
        <v>0</v>
      </c>
      <c r="Q49" s="157">
        <f t="shared" si="12"/>
        <v>0</v>
      </c>
      <c r="R49" s="158">
        <f t="shared" si="13"/>
        <v>0</v>
      </c>
    </row>
    <row r="50" spans="1:25" s="166" customFormat="1" x14ac:dyDescent="0.25">
      <c r="A50" s="153" t="s">
        <v>385</v>
      </c>
      <c r="B50" s="154">
        <v>0</v>
      </c>
      <c r="C50" s="155">
        <v>0</v>
      </c>
      <c r="D50" s="155">
        <v>0</v>
      </c>
      <c r="E50" s="155">
        <v>0</v>
      </c>
      <c r="F50" s="155">
        <v>0</v>
      </c>
      <c r="G50" s="155">
        <v>0</v>
      </c>
      <c r="H50" s="155">
        <v>0</v>
      </c>
      <c r="I50" s="155">
        <v>0</v>
      </c>
      <c r="J50" s="155">
        <v>0</v>
      </c>
      <c r="K50" s="155">
        <v>0</v>
      </c>
      <c r="L50" s="155">
        <v>0</v>
      </c>
      <c r="M50" s="155">
        <v>0</v>
      </c>
      <c r="N50" s="156"/>
      <c r="O50" s="157">
        <f t="shared" si="10"/>
        <v>0</v>
      </c>
      <c r="P50" s="155">
        <f t="shared" si="11"/>
        <v>0</v>
      </c>
      <c r="Q50" s="157">
        <f t="shared" si="12"/>
        <v>0</v>
      </c>
      <c r="R50" s="158">
        <f t="shared" si="13"/>
        <v>0</v>
      </c>
    </row>
    <row r="51" spans="1:25" s="166" customFormat="1" x14ac:dyDescent="0.25">
      <c r="A51" s="153" t="s">
        <v>386</v>
      </c>
      <c r="B51" s="154">
        <v>1000</v>
      </c>
      <c r="C51" s="155">
        <v>0</v>
      </c>
      <c r="D51" s="155">
        <v>0</v>
      </c>
      <c r="E51" s="155">
        <v>0</v>
      </c>
      <c r="F51" s="155">
        <v>0</v>
      </c>
      <c r="G51" s="155">
        <v>0</v>
      </c>
      <c r="H51" s="155">
        <v>0</v>
      </c>
      <c r="I51" s="155">
        <v>0</v>
      </c>
      <c r="J51" s="155">
        <v>0</v>
      </c>
      <c r="K51" s="155">
        <v>0</v>
      </c>
      <c r="L51" s="155">
        <v>0</v>
      </c>
      <c r="M51" s="155">
        <v>0</v>
      </c>
      <c r="N51" s="156"/>
      <c r="O51" s="157">
        <f t="shared" si="10"/>
        <v>0</v>
      </c>
      <c r="P51" s="155">
        <f t="shared" si="11"/>
        <v>1000</v>
      </c>
      <c r="Q51" s="157">
        <f t="shared" si="12"/>
        <v>1000</v>
      </c>
      <c r="R51" s="158">
        <f t="shared" si="13"/>
        <v>1</v>
      </c>
    </row>
    <row r="52" spans="1:25" s="166" customFormat="1" x14ac:dyDescent="0.25">
      <c r="A52" s="153" t="s">
        <v>148</v>
      </c>
      <c r="B52" s="154">
        <v>275</v>
      </c>
      <c r="C52" s="155">
        <v>0</v>
      </c>
      <c r="D52" s="155">
        <v>0</v>
      </c>
      <c r="E52" s="155">
        <v>0</v>
      </c>
      <c r="F52" s="155">
        <v>0</v>
      </c>
      <c r="G52" s="155">
        <v>0</v>
      </c>
      <c r="H52" s="155">
        <v>0</v>
      </c>
      <c r="I52" s="155">
        <v>0</v>
      </c>
      <c r="J52" s="155">
        <v>0</v>
      </c>
      <c r="K52" s="155">
        <v>0</v>
      </c>
      <c r="L52" s="155">
        <v>0</v>
      </c>
      <c r="M52" s="155">
        <v>0</v>
      </c>
      <c r="N52" s="156"/>
      <c r="O52" s="157">
        <f t="shared" si="10"/>
        <v>0</v>
      </c>
      <c r="P52" s="155">
        <f t="shared" si="11"/>
        <v>275</v>
      </c>
      <c r="Q52" s="157">
        <f t="shared" si="12"/>
        <v>275</v>
      </c>
      <c r="R52" s="158">
        <f t="shared" si="13"/>
        <v>1</v>
      </c>
    </row>
    <row r="53" spans="1:25" ht="15" x14ac:dyDescent="0.25">
      <c r="A53" s="62" t="s">
        <v>108</v>
      </c>
      <c r="B53" s="65"/>
      <c r="C53" s="169"/>
      <c r="D53" s="169"/>
      <c r="E53" s="169"/>
      <c r="F53" s="169"/>
      <c r="G53" s="169"/>
      <c r="H53" s="169"/>
      <c r="I53" s="169"/>
      <c r="J53" s="169"/>
      <c r="K53" s="169"/>
      <c r="L53" s="169"/>
      <c r="M53" s="169"/>
      <c r="N53" s="1"/>
      <c r="O53" s="170"/>
      <c r="P53" s="169"/>
      <c r="Q53" s="170"/>
      <c r="R53" s="68"/>
    </row>
    <row r="54" spans="1:25" s="167" customFormat="1" x14ac:dyDescent="0.25">
      <c r="A54" s="153" t="s">
        <v>109</v>
      </c>
      <c r="B54" s="154">
        <v>185000</v>
      </c>
      <c r="C54" s="155">
        <v>0</v>
      </c>
      <c r="D54" s="155">
        <v>0</v>
      </c>
      <c r="E54" s="155">
        <v>0</v>
      </c>
      <c r="F54" s="155">
        <v>0</v>
      </c>
      <c r="G54" s="155">
        <v>0</v>
      </c>
      <c r="H54" s="155">
        <v>0</v>
      </c>
      <c r="I54" s="155">
        <v>0</v>
      </c>
      <c r="J54" s="155">
        <v>0</v>
      </c>
      <c r="K54" s="155">
        <v>0</v>
      </c>
      <c r="L54" s="155">
        <v>0</v>
      </c>
      <c r="M54" s="155">
        <v>0</v>
      </c>
      <c r="N54" s="156"/>
      <c r="O54" s="157">
        <f>SUM(C54:M54)</f>
        <v>0</v>
      </c>
      <c r="P54" s="155">
        <f>B54</f>
        <v>185000</v>
      </c>
      <c r="Q54" s="157">
        <f>P54-O54</f>
        <v>185000</v>
      </c>
      <c r="R54" s="158">
        <f>IFERROR(Q54/P54,0)</f>
        <v>1</v>
      </c>
      <c r="T54" s="171"/>
      <c r="U54" s="171"/>
      <c r="V54" s="171"/>
      <c r="W54" s="171"/>
      <c r="X54" s="171"/>
      <c r="Y54" s="171"/>
    </row>
    <row r="55" spans="1:25" s="167" customFormat="1" x14ac:dyDescent="0.25">
      <c r="A55" s="153" t="s">
        <v>387</v>
      </c>
      <c r="B55" s="154">
        <v>1481.29</v>
      </c>
      <c r="C55" s="155">
        <v>0</v>
      </c>
      <c r="D55" s="155">
        <v>0</v>
      </c>
      <c r="E55" s="155">
        <v>0</v>
      </c>
      <c r="F55" s="155">
        <v>0</v>
      </c>
      <c r="G55" s="155">
        <v>1481.29</v>
      </c>
      <c r="H55" s="155">
        <v>0</v>
      </c>
      <c r="I55" s="155">
        <v>0</v>
      </c>
      <c r="J55" s="155">
        <v>0</v>
      </c>
      <c r="K55" s="155">
        <v>0</v>
      </c>
      <c r="L55" s="155">
        <v>0</v>
      </c>
      <c r="M55" s="155">
        <v>0</v>
      </c>
      <c r="N55" s="156"/>
      <c r="O55" s="157">
        <f>SUM(C55:M55)</f>
        <v>1481.29</v>
      </c>
      <c r="P55" s="155">
        <f>B55</f>
        <v>1481.29</v>
      </c>
      <c r="Q55" s="157">
        <f>P55-O55</f>
        <v>0</v>
      </c>
      <c r="R55" s="158">
        <f>IFERROR(Q55/P55,0)</f>
        <v>0</v>
      </c>
      <c r="T55" s="171"/>
      <c r="U55" s="171"/>
      <c r="V55" s="171"/>
      <c r="W55" s="171"/>
      <c r="X55" s="171"/>
      <c r="Y55" s="171"/>
    </row>
    <row r="56" spans="1:25" s="167" customFormat="1" x14ac:dyDescent="0.25">
      <c r="A56" s="153" t="s">
        <v>110</v>
      </c>
      <c r="B56" s="154">
        <v>1200</v>
      </c>
      <c r="C56" s="155">
        <v>0</v>
      </c>
      <c r="D56" s="155">
        <v>0</v>
      </c>
      <c r="E56" s="155">
        <v>0</v>
      </c>
      <c r="F56" s="155">
        <v>0</v>
      </c>
      <c r="G56" s="155">
        <v>0</v>
      </c>
      <c r="H56" s="155">
        <v>0</v>
      </c>
      <c r="I56" s="155">
        <v>0</v>
      </c>
      <c r="J56" s="155">
        <v>0</v>
      </c>
      <c r="K56" s="155">
        <v>0</v>
      </c>
      <c r="L56" s="155">
        <v>0</v>
      </c>
      <c r="M56" s="155">
        <v>0</v>
      </c>
      <c r="N56" s="156"/>
      <c r="O56" s="157">
        <f>SUM(C56:M56)</f>
        <v>0</v>
      </c>
      <c r="P56" s="155">
        <f>B56</f>
        <v>1200</v>
      </c>
      <c r="Q56" s="157">
        <f>P56-O56</f>
        <v>1200</v>
      </c>
      <c r="R56" s="158">
        <f>IFERROR(Q56/P56,0)</f>
        <v>1</v>
      </c>
      <c r="T56" s="171"/>
      <c r="U56" s="171"/>
      <c r="V56" s="171"/>
      <c r="W56" s="171"/>
      <c r="X56" s="171"/>
      <c r="Y56" s="171"/>
    </row>
    <row r="57" spans="1:25" s="32" customFormat="1" ht="15" x14ac:dyDescent="0.25">
      <c r="A57" s="62" t="s">
        <v>119</v>
      </c>
      <c r="B57" s="65"/>
      <c r="C57" s="169"/>
      <c r="D57" s="169"/>
      <c r="E57" s="169"/>
      <c r="F57" s="169"/>
      <c r="G57" s="169"/>
      <c r="H57" s="169"/>
      <c r="I57" s="169"/>
      <c r="J57" s="169"/>
      <c r="K57" s="169"/>
      <c r="L57" s="169"/>
      <c r="M57" s="169"/>
      <c r="N57" s="1"/>
      <c r="O57" s="170"/>
      <c r="P57" s="169"/>
      <c r="Q57" s="170"/>
      <c r="R57" s="68"/>
    </row>
    <row r="58" spans="1:25" s="167" customFormat="1" x14ac:dyDescent="0.25">
      <c r="A58" s="153" t="s">
        <v>39</v>
      </c>
      <c r="B58" s="154">
        <v>650</v>
      </c>
      <c r="C58" s="155">
        <v>0</v>
      </c>
      <c r="D58" s="155">
        <v>0</v>
      </c>
      <c r="E58" s="155">
        <v>0</v>
      </c>
      <c r="F58" s="155">
        <v>0</v>
      </c>
      <c r="G58" s="155">
        <v>0</v>
      </c>
      <c r="H58" s="155">
        <v>0</v>
      </c>
      <c r="I58" s="155">
        <v>0</v>
      </c>
      <c r="J58" s="155">
        <v>0</v>
      </c>
      <c r="K58" s="155">
        <v>0</v>
      </c>
      <c r="L58" s="155">
        <v>0</v>
      </c>
      <c r="M58" s="155">
        <v>0</v>
      </c>
      <c r="N58" s="156"/>
      <c r="O58" s="157">
        <f t="shared" ref="O58:O64" si="14">SUM(C58:M58)</f>
        <v>0</v>
      </c>
      <c r="P58" s="155">
        <f t="shared" ref="P58:P64" si="15">B58</f>
        <v>650</v>
      </c>
      <c r="Q58" s="157">
        <f t="shared" ref="Q58:Q64" si="16">P58-O58</f>
        <v>650</v>
      </c>
      <c r="R58" s="158">
        <f t="shared" ref="R58:R64" si="17">IFERROR(Q58/P58,0)</f>
        <v>1</v>
      </c>
    </row>
    <row r="59" spans="1:25" s="166" customFormat="1" x14ac:dyDescent="0.25">
      <c r="A59" s="153" t="s">
        <v>137</v>
      </c>
      <c r="B59" s="154">
        <v>54840</v>
      </c>
      <c r="C59" s="155">
        <v>0</v>
      </c>
      <c r="D59" s="155">
        <v>0</v>
      </c>
      <c r="E59" s="155">
        <v>0</v>
      </c>
      <c r="F59" s="155">
        <v>0</v>
      </c>
      <c r="G59" s="155">
        <v>0</v>
      </c>
      <c r="H59" s="155">
        <v>0</v>
      </c>
      <c r="I59" s="155">
        <v>0</v>
      </c>
      <c r="J59" s="155">
        <v>0</v>
      </c>
      <c r="K59" s="155">
        <v>0</v>
      </c>
      <c r="L59" s="155">
        <v>0</v>
      </c>
      <c r="M59" s="155">
        <v>0</v>
      </c>
      <c r="N59" s="156"/>
      <c r="O59" s="157">
        <f t="shared" si="14"/>
        <v>0</v>
      </c>
      <c r="P59" s="155">
        <f t="shared" si="15"/>
        <v>54840</v>
      </c>
      <c r="Q59" s="157">
        <f t="shared" si="16"/>
        <v>54840</v>
      </c>
      <c r="R59" s="158">
        <f t="shared" si="17"/>
        <v>1</v>
      </c>
    </row>
    <row r="60" spans="1:25" s="166" customFormat="1" x14ac:dyDescent="0.25">
      <c r="A60" s="153" t="s">
        <v>138</v>
      </c>
      <c r="B60" s="154">
        <v>126489.83</v>
      </c>
      <c r="C60" s="155">
        <v>0</v>
      </c>
      <c r="D60" s="155">
        <v>0</v>
      </c>
      <c r="E60" s="155">
        <v>0</v>
      </c>
      <c r="F60" s="155">
        <v>0</v>
      </c>
      <c r="G60" s="155">
        <v>0</v>
      </c>
      <c r="H60" s="155">
        <v>0</v>
      </c>
      <c r="I60" s="155">
        <v>0</v>
      </c>
      <c r="J60" s="155">
        <v>0</v>
      </c>
      <c r="K60" s="155">
        <v>0</v>
      </c>
      <c r="L60" s="155">
        <v>0</v>
      </c>
      <c r="M60" s="155">
        <v>0</v>
      </c>
      <c r="N60" s="156"/>
      <c r="O60" s="157">
        <f t="shared" si="14"/>
        <v>0</v>
      </c>
      <c r="P60" s="155">
        <f t="shared" si="15"/>
        <v>126489.83</v>
      </c>
      <c r="Q60" s="157">
        <f t="shared" si="16"/>
        <v>126489.83</v>
      </c>
      <c r="R60" s="158">
        <f t="shared" si="17"/>
        <v>1</v>
      </c>
    </row>
    <row r="61" spans="1:25" s="167" customFormat="1" x14ac:dyDescent="0.25">
      <c r="A61" s="153" t="s">
        <v>388</v>
      </c>
      <c r="B61" s="154">
        <f>((40*25.25%)+40)*154</f>
        <v>7715.4000000000005</v>
      </c>
      <c r="C61" s="155">
        <v>0</v>
      </c>
      <c r="D61" s="155">
        <v>0</v>
      </c>
      <c r="E61" s="155">
        <v>0</v>
      </c>
      <c r="F61" s="155">
        <v>0</v>
      </c>
      <c r="G61" s="155">
        <v>0</v>
      </c>
      <c r="H61" s="155">
        <v>0</v>
      </c>
      <c r="I61" s="155">
        <v>0</v>
      </c>
      <c r="J61" s="155">
        <v>0</v>
      </c>
      <c r="K61" s="155">
        <v>0</v>
      </c>
      <c r="L61" s="155">
        <v>0</v>
      </c>
      <c r="M61" s="155">
        <v>0</v>
      </c>
      <c r="N61" s="156"/>
      <c r="O61" s="157">
        <f t="shared" si="14"/>
        <v>0</v>
      </c>
      <c r="P61" s="155">
        <f t="shared" si="15"/>
        <v>7715.4000000000005</v>
      </c>
      <c r="Q61" s="157">
        <f t="shared" si="16"/>
        <v>7715.4000000000005</v>
      </c>
      <c r="R61" s="158">
        <f t="shared" si="17"/>
        <v>1</v>
      </c>
    </row>
    <row r="62" spans="1:25" s="167" customFormat="1" x14ac:dyDescent="0.25">
      <c r="A62" s="153" t="s">
        <v>389</v>
      </c>
      <c r="B62" s="154">
        <f>((259*25.25%)+259)*115</f>
        <v>37305.712499999994</v>
      </c>
      <c r="C62" s="155">
        <v>0</v>
      </c>
      <c r="D62" s="155">
        <v>0</v>
      </c>
      <c r="E62" s="155">
        <v>0</v>
      </c>
      <c r="F62" s="155">
        <v>0</v>
      </c>
      <c r="G62" s="155">
        <v>0</v>
      </c>
      <c r="H62" s="155">
        <v>0</v>
      </c>
      <c r="I62" s="155">
        <v>0</v>
      </c>
      <c r="J62" s="155">
        <v>0</v>
      </c>
      <c r="K62" s="155">
        <v>0</v>
      </c>
      <c r="L62" s="155">
        <v>0</v>
      </c>
      <c r="M62" s="155">
        <v>0</v>
      </c>
      <c r="N62" s="156"/>
      <c r="O62" s="157">
        <f t="shared" si="14"/>
        <v>0</v>
      </c>
      <c r="P62" s="155">
        <f t="shared" si="15"/>
        <v>37305.712499999994</v>
      </c>
      <c r="Q62" s="157">
        <f t="shared" si="16"/>
        <v>37305.712499999994</v>
      </c>
      <c r="R62" s="158">
        <f t="shared" si="17"/>
        <v>1</v>
      </c>
    </row>
    <row r="63" spans="1:25" s="167" customFormat="1" x14ac:dyDescent="0.25">
      <c r="A63" s="153" t="s">
        <v>390</v>
      </c>
      <c r="B63" s="154">
        <f>((384*25.25%)+384)*39</f>
        <v>18757.440000000002</v>
      </c>
      <c r="C63" s="155">
        <v>0</v>
      </c>
      <c r="D63" s="155">
        <v>0</v>
      </c>
      <c r="E63" s="155">
        <v>0</v>
      </c>
      <c r="F63" s="155">
        <v>0</v>
      </c>
      <c r="G63" s="155">
        <v>0</v>
      </c>
      <c r="H63" s="155">
        <v>0</v>
      </c>
      <c r="I63" s="155">
        <v>0</v>
      </c>
      <c r="J63" s="155">
        <v>0</v>
      </c>
      <c r="K63" s="155">
        <v>0</v>
      </c>
      <c r="L63" s="155">
        <v>0</v>
      </c>
      <c r="M63" s="155">
        <v>0</v>
      </c>
      <c r="N63" s="156"/>
      <c r="O63" s="157">
        <f t="shared" si="14"/>
        <v>0</v>
      </c>
      <c r="P63" s="155">
        <f t="shared" si="15"/>
        <v>18757.440000000002</v>
      </c>
      <c r="Q63" s="157">
        <f t="shared" si="16"/>
        <v>18757.440000000002</v>
      </c>
      <c r="R63" s="158">
        <f t="shared" si="17"/>
        <v>1</v>
      </c>
    </row>
    <row r="64" spans="1:25" s="167" customFormat="1" x14ac:dyDescent="0.25">
      <c r="A64" s="153" t="s">
        <v>125</v>
      </c>
      <c r="B64" s="154">
        <v>150</v>
      </c>
      <c r="C64" s="155">
        <v>0</v>
      </c>
      <c r="D64" s="155">
        <v>0</v>
      </c>
      <c r="E64" s="155">
        <v>0</v>
      </c>
      <c r="F64" s="155">
        <v>0</v>
      </c>
      <c r="G64" s="155">
        <v>0</v>
      </c>
      <c r="H64" s="155">
        <v>0</v>
      </c>
      <c r="I64" s="155">
        <v>0</v>
      </c>
      <c r="J64" s="155">
        <v>0</v>
      </c>
      <c r="K64" s="155">
        <v>0</v>
      </c>
      <c r="L64" s="155">
        <v>0</v>
      </c>
      <c r="M64" s="155">
        <v>0</v>
      </c>
      <c r="N64" s="156"/>
      <c r="O64" s="157">
        <f t="shared" si="14"/>
        <v>0</v>
      </c>
      <c r="P64" s="155">
        <f t="shared" si="15"/>
        <v>150</v>
      </c>
      <c r="Q64" s="157">
        <f t="shared" si="16"/>
        <v>150</v>
      </c>
      <c r="R64" s="158">
        <f t="shared" si="17"/>
        <v>1</v>
      </c>
      <c r="S64" s="172"/>
    </row>
    <row r="65" spans="1:18" s="31" customFormat="1" ht="15" x14ac:dyDescent="0.25">
      <c r="A65" s="168" t="s">
        <v>391</v>
      </c>
      <c r="B65" s="54"/>
      <c r="C65" s="72"/>
      <c r="D65" s="72"/>
      <c r="E65" s="72"/>
      <c r="F65" s="72"/>
      <c r="G65" s="72"/>
      <c r="H65" s="72"/>
      <c r="I65" s="72"/>
      <c r="J65" s="72"/>
      <c r="K65" s="72"/>
      <c r="L65" s="72"/>
      <c r="M65" s="72"/>
      <c r="N65" s="72"/>
      <c r="O65" s="74"/>
      <c r="P65" s="74"/>
      <c r="Q65" s="74"/>
      <c r="R65" s="75"/>
    </row>
    <row r="66" spans="1:18" s="167" customFormat="1" ht="15" x14ac:dyDescent="0.25">
      <c r="A66" s="161" t="s">
        <v>392</v>
      </c>
      <c r="B66" s="162"/>
      <c r="C66" s="163"/>
      <c r="D66" s="163"/>
      <c r="E66" s="163"/>
      <c r="F66" s="163"/>
      <c r="G66" s="163"/>
      <c r="H66" s="163"/>
      <c r="I66" s="163"/>
      <c r="J66" s="163"/>
      <c r="K66" s="163"/>
      <c r="L66" s="163"/>
      <c r="M66" s="163"/>
      <c r="N66" s="156"/>
      <c r="O66" s="164"/>
      <c r="P66" s="163"/>
      <c r="Q66" s="164"/>
      <c r="R66" s="165"/>
    </row>
    <row r="67" spans="1:18" s="167" customFormat="1" x14ac:dyDescent="0.25">
      <c r="A67" s="153" t="s">
        <v>14</v>
      </c>
      <c r="B67" s="154">
        <v>0</v>
      </c>
      <c r="C67" s="155">
        <v>0</v>
      </c>
      <c r="D67" s="155">
        <v>0</v>
      </c>
      <c r="E67" s="155">
        <v>0</v>
      </c>
      <c r="F67" s="155">
        <v>0</v>
      </c>
      <c r="G67" s="155">
        <v>0</v>
      </c>
      <c r="H67" s="155">
        <v>0</v>
      </c>
      <c r="I67" s="155">
        <v>0</v>
      </c>
      <c r="J67" s="155">
        <v>0</v>
      </c>
      <c r="K67" s="155">
        <v>0</v>
      </c>
      <c r="L67" s="155">
        <v>0</v>
      </c>
      <c r="M67" s="155">
        <v>0</v>
      </c>
      <c r="N67" s="156"/>
      <c r="O67" s="157">
        <f>SUM(C67:M67)</f>
        <v>0</v>
      </c>
      <c r="P67" s="155">
        <f>B67</f>
        <v>0</v>
      </c>
      <c r="Q67" s="157">
        <f>P67-O67</f>
        <v>0</v>
      </c>
      <c r="R67" s="158">
        <f>IFERROR(Q67/P67,0)</f>
        <v>0</v>
      </c>
    </row>
    <row r="68" spans="1:18" s="167" customFormat="1" x14ac:dyDescent="0.25">
      <c r="A68" s="153" t="s">
        <v>393</v>
      </c>
      <c r="B68" s="154">
        <v>435.87</v>
      </c>
      <c r="C68" s="155">
        <v>0</v>
      </c>
      <c r="D68" s="155">
        <v>0</v>
      </c>
      <c r="E68" s="155">
        <v>0</v>
      </c>
      <c r="F68" s="155">
        <v>0</v>
      </c>
      <c r="G68" s="155">
        <v>0</v>
      </c>
      <c r="H68" s="155">
        <v>0</v>
      </c>
      <c r="I68" s="155">
        <v>0</v>
      </c>
      <c r="J68" s="155">
        <v>0</v>
      </c>
      <c r="K68" s="155">
        <v>0</v>
      </c>
      <c r="L68" s="155">
        <v>0</v>
      </c>
      <c r="M68" s="155">
        <v>0</v>
      </c>
      <c r="N68" s="156"/>
      <c r="O68" s="157">
        <f>SUM(C68:M68)</f>
        <v>0</v>
      </c>
      <c r="P68" s="155">
        <f>B68</f>
        <v>435.87</v>
      </c>
      <c r="Q68" s="157">
        <f>P68-O68</f>
        <v>435.87</v>
      </c>
      <c r="R68" s="158">
        <f>IFERROR(Q68/P68,0)</f>
        <v>1</v>
      </c>
    </row>
    <row r="69" spans="1:18" s="167" customFormat="1" x14ac:dyDescent="0.25">
      <c r="A69" s="153" t="s">
        <v>394</v>
      </c>
      <c r="B69" s="154">
        <v>140</v>
      </c>
      <c r="C69" s="155">
        <v>0</v>
      </c>
      <c r="D69" s="155">
        <v>0</v>
      </c>
      <c r="E69" s="155">
        <v>0</v>
      </c>
      <c r="F69" s="155">
        <v>0</v>
      </c>
      <c r="G69" s="155">
        <v>0</v>
      </c>
      <c r="H69" s="155">
        <v>0</v>
      </c>
      <c r="I69" s="155">
        <v>0</v>
      </c>
      <c r="J69" s="155">
        <v>0</v>
      </c>
      <c r="K69" s="155">
        <v>0</v>
      </c>
      <c r="L69" s="155">
        <v>0</v>
      </c>
      <c r="M69" s="155">
        <v>0</v>
      </c>
      <c r="N69" s="156"/>
      <c r="O69" s="157">
        <f>SUM(C69:M69)</f>
        <v>0</v>
      </c>
      <c r="P69" s="155">
        <f>B69</f>
        <v>140</v>
      </c>
      <c r="Q69" s="157">
        <f>P69-O69</f>
        <v>140</v>
      </c>
      <c r="R69" s="158">
        <f>IFERROR(Q69/P69,0)</f>
        <v>1</v>
      </c>
    </row>
    <row r="70" spans="1:18" s="50" customFormat="1" ht="15" x14ac:dyDescent="0.25">
      <c r="A70" s="62" t="s">
        <v>88</v>
      </c>
      <c r="B70" s="63"/>
      <c r="C70" s="64"/>
      <c r="D70" s="64"/>
      <c r="E70" s="64"/>
      <c r="F70" s="64"/>
      <c r="G70" s="64"/>
      <c r="H70" s="64"/>
      <c r="I70" s="64"/>
      <c r="J70" s="64"/>
      <c r="K70" s="64"/>
      <c r="L70" s="64"/>
      <c r="M70" s="64"/>
      <c r="N70" s="64"/>
      <c r="O70" s="64"/>
      <c r="P70" s="64"/>
      <c r="Q70" s="64"/>
      <c r="R70" s="64"/>
    </row>
    <row r="71" spans="1:18" s="167" customFormat="1" x14ac:dyDescent="0.25">
      <c r="A71" s="153" t="s">
        <v>54</v>
      </c>
      <c r="B71" s="154">
        <v>1000</v>
      </c>
      <c r="C71" s="155">
        <v>0</v>
      </c>
      <c r="D71" s="155">
        <v>0</v>
      </c>
      <c r="E71" s="155">
        <v>0</v>
      </c>
      <c r="F71" s="155">
        <v>0</v>
      </c>
      <c r="G71" s="155">
        <v>0</v>
      </c>
      <c r="H71" s="155">
        <v>0</v>
      </c>
      <c r="I71" s="155">
        <v>0</v>
      </c>
      <c r="J71" s="155">
        <v>0</v>
      </c>
      <c r="K71" s="155">
        <v>0</v>
      </c>
      <c r="L71" s="155">
        <v>0</v>
      </c>
      <c r="M71" s="155">
        <v>0</v>
      </c>
      <c r="N71" s="156"/>
      <c r="O71" s="157">
        <f t="shared" ref="O71:O79" si="18">SUM(C71:M71)</f>
        <v>0</v>
      </c>
      <c r="P71" s="155">
        <f t="shared" ref="P71:P79" si="19">B71</f>
        <v>1000</v>
      </c>
      <c r="Q71" s="157">
        <f t="shared" ref="Q71:Q79" si="20">P71-O71</f>
        <v>1000</v>
      </c>
      <c r="R71" s="158">
        <f t="shared" ref="R71:R79" si="21">IFERROR(Q71/P71,0)</f>
        <v>1</v>
      </c>
    </row>
    <row r="72" spans="1:18" s="167" customFormat="1" x14ac:dyDescent="0.25">
      <c r="A72" s="153" t="s">
        <v>89</v>
      </c>
      <c r="B72" s="154">
        <v>800</v>
      </c>
      <c r="C72" s="155">
        <v>0</v>
      </c>
      <c r="D72" s="155">
        <v>0</v>
      </c>
      <c r="E72" s="155">
        <v>0</v>
      </c>
      <c r="F72" s="155">
        <v>0</v>
      </c>
      <c r="G72" s="155">
        <v>0</v>
      </c>
      <c r="H72" s="155">
        <v>0</v>
      </c>
      <c r="I72" s="155">
        <v>0</v>
      </c>
      <c r="J72" s="155">
        <v>0</v>
      </c>
      <c r="K72" s="155">
        <v>0</v>
      </c>
      <c r="L72" s="155">
        <v>0</v>
      </c>
      <c r="M72" s="155">
        <v>0</v>
      </c>
      <c r="N72" s="156"/>
      <c r="O72" s="157">
        <f t="shared" si="18"/>
        <v>0</v>
      </c>
      <c r="P72" s="155">
        <f t="shared" si="19"/>
        <v>800</v>
      </c>
      <c r="Q72" s="157">
        <f t="shared" si="20"/>
        <v>800</v>
      </c>
      <c r="R72" s="158">
        <f t="shared" si="21"/>
        <v>1</v>
      </c>
    </row>
    <row r="73" spans="1:18" s="167" customFormat="1" x14ac:dyDescent="0.25">
      <c r="A73" s="153" t="s">
        <v>395</v>
      </c>
      <c r="B73" s="154">
        <v>250</v>
      </c>
      <c r="C73" s="155">
        <v>0</v>
      </c>
      <c r="D73" s="155">
        <v>0</v>
      </c>
      <c r="E73" s="155">
        <v>0</v>
      </c>
      <c r="F73" s="155">
        <v>0</v>
      </c>
      <c r="G73" s="155">
        <v>0</v>
      </c>
      <c r="H73" s="155">
        <v>0</v>
      </c>
      <c r="I73" s="155">
        <v>0</v>
      </c>
      <c r="J73" s="155">
        <v>0</v>
      </c>
      <c r="K73" s="155">
        <v>0</v>
      </c>
      <c r="L73" s="155">
        <v>0</v>
      </c>
      <c r="M73" s="155">
        <v>0</v>
      </c>
      <c r="N73" s="156"/>
      <c r="O73" s="157">
        <f t="shared" si="18"/>
        <v>0</v>
      </c>
      <c r="P73" s="155">
        <f t="shared" si="19"/>
        <v>250</v>
      </c>
      <c r="Q73" s="157">
        <f t="shared" si="20"/>
        <v>250</v>
      </c>
      <c r="R73" s="158">
        <f t="shared" si="21"/>
        <v>1</v>
      </c>
    </row>
    <row r="74" spans="1:18" s="167" customFormat="1" x14ac:dyDescent="0.25">
      <c r="A74" s="153" t="s">
        <v>396</v>
      </c>
      <c r="B74" s="154">
        <v>5000</v>
      </c>
      <c r="C74" s="155">
        <v>0</v>
      </c>
      <c r="D74" s="155">
        <v>0</v>
      </c>
      <c r="E74" s="155">
        <v>0</v>
      </c>
      <c r="F74" s="155">
        <v>0</v>
      </c>
      <c r="G74" s="155">
        <v>0</v>
      </c>
      <c r="H74" s="155">
        <v>0</v>
      </c>
      <c r="I74" s="155">
        <v>0</v>
      </c>
      <c r="J74" s="155">
        <v>0</v>
      </c>
      <c r="K74" s="155">
        <v>0</v>
      </c>
      <c r="L74" s="155">
        <v>0</v>
      </c>
      <c r="M74" s="155">
        <v>0</v>
      </c>
      <c r="N74" s="156"/>
      <c r="O74" s="157">
        <f t="shared" si="18"/>
        <v>0</v>
      </c>
      <c r="P74" s="155">
        <f t="shared" si="19"/>
        <v>5000</v>
      </c>
      <c r="Q74" s="157">
        <f>P74-O74</f>
        <v>5000</v>
      </c>
      <c r="R74" s="158">
        <f>IFERROR(Q74/P74,0)</f>
        <v>1</v>
      </c>
    </row>
    <row r="75" spans="1:18" s="167" customFormat="1" x14ac:dyDescent="0.25">
      <c r="A75" s="153" t="s">
        <v>397</v>
      </c>
      <c r="B75" s="154">
        <v>1000</v>
      </c>
      <c r="C75" s="155">
        <v>0</v>
      </c>
      <c r="D75" s="155">
        <v>0</v>
      </c>
      <c r="E75" s="155">
        <v>0</v>
      </c>
      <c r="F75" s="155">
        <v>0</v>
      </c>
      <c r="G75" s="155">
        <v>0</v>
      </c>
      <c r="H75" s="155">
        <v>0</v>
      </c>
      <c r="I75" s="155">
        <v>0</v>
      </c>
      <c r="J75" s="155">
        <v>0</v>
      </c>
      <c r="K75" s="155">
        <v>0</v>
      </c>
      <c r="L75" s="155">
        <v>0</v>
      </c>
      <c r="M75" s="155">
        <v>0</v>
      </c>
      <c r="N75" s="156"/>
      <c r="O75" s="157">
        <f t="shared" si="18"/>
        <v>0</v>
      </c>
      <c r="P75" s="155">
        <f t="shared" si="19"/>
        <v>1000</v>
      </c>
      <c r="Q75" s="157">
        <f t="shared" si="20"/>
        <v>1000</v>
      </c>
      <c r="R75" s="158">
        <f t="shared" si="21"/>
        <v>1</v>
      </c>
    </row>
    <row r="76" spans="1:18" s="167" customFormat="1" x14ac:dyDescent="0.25">
      <c r="A76" s="153" t="s">
        <v>91</v>
      </c>
      <c r="B76" s="154">
        <v>5000</v>
      </c>
      <c r="C76" s="155">
        <v>0</v>
      </c>
      <c r="D76" s="155">
        <v>0</v>
      </c>
      <c r="E76" s="155">
        <v>0</v>
      </c>
      <c r="F76" s="155">
        <v>0</v>
      </c>
      <c r="G76" s="155">
        <v>0</v>
      </c>
      <c r="H76" s="155">
        <v>0</v>
      </c>
      <c r="I76" s="155">
        <v>0</v>
      </c>
      <c r="J76" s="155">
        <v>0</v>
      </c>
      <c r="K76" s="155">
        <v>0</v>
      </c>
      <c r="L76" s="155">
        <v>0</v>
      </c>
      <c r="M76" s="155">
        <v>0</v>
      </c>
      <c r="N76" s="156"/>
      <c r="O76" s="157">
        <f t="shared" si="18"/>
        <v>0</v>
      </c>
      <c r="P76" s="155">
        <f t="shared" si="19"/>
        <v>5000</v>
      </c>
      <c r="Q76" s="157">
        <f t="shared" si="20"/>
        <v>5000</v>
      </c>
      <c r="R76" s="158">
        <f t="shared" si="21"/>
        <v>1</v>
      </c>
    </row>
    <row r="77" spans="1:18" s="166" customFormat="1" x14ac:dyDescent="0.25">
      <c r="A77" s="153" t="s">
        <v>398</v>
      </c>
      <c r="B77" s="154">
        <v>22000</v>
      </c>
      <c r="C77" s="155">
        <v>0</v>
      </c>
      <c r="D77" s="155">
        <v>7000</v>
      </c>
      <c r="E77" s="155">
        <v>0</v>
      </c>
      <c r="F77" s="155">
        <v>0</v>
      </c>
      <c r="G77" s="155">
        <v>0</v>
      </c>
      <c r="H77" s="155">
        <v>0</v>
      </c>
      <c r="I77" s="155">
        <v>0</v>
      </c>
      <c r="J77" s="155">
        <v>0</v>
      </c>
      <c r="K77" s="155">
        <v>0</v>
      </c>
      <c r="L77" s="155">
        <v>0</v>
      </c>
      <c r="M77" s="155">
        <v>0</v>
      </c>
      <c r="N77" s="156"/>
      <c r="O77" s="157">
        <f t="shared" si="18"/>
        <v>7000</v>
      </c>
      <c r="P77" s="155">
        <f t="shared" si="19"/>
        <v>22000</v>
      </c>
      <c r="Q77" s="157">
        <f t="shared" si="20"/>
        <v>15000</v>
      </c>
      <c r="R77" s="158">
        <f t="shared" si="21"/>
        <v>0.68181818181818177</v>
      </c>
    </row>
    <row r="78" spans="1:18" s="166" customFormat="1" x14ac:dyDescent="0.25">
      <c r="A78" s="153" t="s">
        <v>399</v>
      </c>
      <c r="B78" s="154">
        <v>5000</v>
      </c>
      <c r="C78" s="155">
        <v>0</v>
      </c>
      <c r="D78" s="155">
        <v>0</v>
      </c>
      <c r="E78" s="155">
        <v>0</v>
      </c>
      <c r="F78" s="155">
        <v>0</v>
      </c>
      <c r="G78" s="155">
        <v>0</v>
      </c>
      <c r="H78" s="155">
        <v>0</v>
      </c>
      <c r="I78" s="155">
        <v>0</v>
      </c>
      <c r="J78" s="155">
        <v>0</v>
      </c>
      <c r="K78" s="155">
        <v>0</v>
      </c>
      <c r="L78" s="155">
        <v>0</v>
      </c>
      <c r="M78" s="155">
        <v>0</v>
      </c>
      <c r="N78" s="156"/>
      <c r="O78" s="157">
        <f t="shared" si="18"/>
        <v>0</v>
      </c>
      <c r="P78" s="155">
        <f t="shared" si="19"/>
        <v>5000</v>
      </c>
      <c r="Q78" s="157">
        <f t="shared" ref="Q78" si="22">P78-O78</f>
        <v>5000</v>
      </c>
      <c r="R78" s="158">
        <f t="shared" ref="R78" si="23">IFERROR(Q78/P78,0)</f>
        <v>1</v>
      </c>
    </row>
    <row r="79" spans="1:18" s="167" customFormat="1" x14ac:dyDescent="0.25">
      <c r="A79" s="153" t="s">
        <v>93</v>
      </c>
      <c r="B79" s="154">
        <v>6615.6</v>
      </c>
      <c r="C79" s="155">
        <v>0</v>
      </c>
      <c r="D79" s="155">
        <v>0</v>
      </c>
      <c r="E79" s="155">
        <v>0</v>
      </c>
      <c r="F79" s="155">
        <v>0</v>
      </c>
      <c r="G79" s="155">
        <v>0</v>
      </c>
      <c r="H79" s="155">
        <v>0</v>
      </c>
      <c r="I79" s="155">
        <v>0</v>
      </c>
      <c r="J79" s="155">
        <v>0</v>
      </c>
      <c r="K79" s="155">
        <v>0</v>
      </c>
      <c r="L79" s="155">
        <v>0</v>
      </c>
      <c r="M79" s="155">
        <v>0</v>
      </c>
      <c r="N79" s="156"/>
      <c r="O79" s="157">
        <f t="shared" si="18"/>
        <v>0</v>
      </c>
      <c r="P79" s="155">
        <f t="shared" si="19"/>
        <v>6615.6</v>
      </c>
      <c r="Q79" s="157">
        <f t="shared" si="20"/>
        <v>6615.6</v>
      </c>
      <c r="R79" s="158">
        <f t="shared" si="21"/>
        <v>1</v>
      </c>
    </row>
    <row r="80" spans="1:18" ht="15" x14ac:dyDescent="0.25">
      <c r="A80" s="62" t="s">
        <v>103</v>
      </c>
      <c r="B80" s="65"/>
      <c r="C80" s="169"/>
      <c r="D80" s="169"/>
      <c r="E80" s="169"/>
      <c r="F80" s="169"/>
      <c r="G80" s="169"/>
      <c r="H80" s="169"/>
      <c r="I80" s="169"/>
      <c r="J80" s="169"/>
      <c r="K80" s="169"/>
      <c r="L80" s="169"/>
      <c r="M80" s="169"/>
      <c r="N80" s="1"/>
      <c r="O80" s="170"/>
      <c r="P80" s="169"/>
      <c r="Q80" s="170"/>
      <c r="R80" s="68"/>
    </row>
    <row r="81" spans="1:18" x14ac:dyDescent="0.25">
      <c r="A81" s="153" t="s">
        <v>13</v>
      </c>
      <c r="B81" s="154">
        <v>650</v>
      </c>
      <c r="C81" s="155">
        <v>0</v>
      </c>
      <c r="D81" s="155">
        <v>0</v>
      </c>
      <c r="E81" s="155">
        <v>0</v>
      </c>
      <c r="F81" s="155">
        <v>0</v>
      </c>
      <c r="G81" s="155">
        <v>0</v>
      </c>
      <c r="H81" s="155">
        <v>0</v>
      </c>
      <c r="I81" s="155">
        <v>0</v>
      </c>
      <c r="J81" s="155">
        <v>0</v>
      </c>
      <c r="K81" s="155">
        <v>0</v>
      </c>
      <c r="L81" s="155">
        <v>0</v>
      </c>
      <c r="M81" s="155">
        <v>0</v>
      </c>
      <c r="N81" s="156"/>
      <c r="O81" s="157">
        <f>SUM(C81:M81)</f>
        <v>0</v>
      </c>
      <c r="P81" s="155">
        <f>B81</f>
        <v>650</v>
      </c>
      <c r="Q81" s="157">
        <f>P81-O81</f>
        <v>650</v>
      </c>
      <c r="R81" s="158">
        <f>IFERROR(Q81/P81,0)</f>
        <v>1</v>
      </c>
    </row>
    <row r="82" spans="1:18" x14ac:dyDescent="0.25">
      <c r="A82" s="153" t="s">
        <v>400</v>
      </c>
      <c r="B82" s="154">
        <v>1500</v>
      </c>
      <c r="C82" s="155">
        <v>0</v>
      </c>
      <c r="D82" s="155">
        <v>0</v>
      </c>
      <c r="E82" s="155">
        <v>0</v>
      </c>
      <c r="F82" s="155">
        <v>0</v>
      </c>
      <c r="G82" s="155">
        <v>0</v>
      </c>
      <c r="H82" s="155">
        <v>0</v>
      </c>
      <c r="I82" s="155">
        <v>0</v>
      </c>
      <c r="J82" s="155">
        <v>0</v>
      </c>
      <c r="K82" s="155">
        <v>0</v>
      </c>
      <c r="L82" s="155">
        <v>0</v>
      </c>
      <c r="M82" s="155">
        <v>0</v>
      </c>
      <c r="N82" s="156"/>
      <c r="O82" s="157">
        <f>SUM(C82:M82)</f>
        <v>0</v>
      </c>
      <c r="P82" s="155">
        <f>B82</f>
        <v>1500</v>
      </c>
      <c r="Q82" s="157">
        <f>P82-O82</f>
        <v>1500</v>
      </c>
      <c r="R82" s="158">
        <f>IFERROR(Q82/P82,0)</f>
        <v>1</v>
      </c>
    </row>
    <row r="83" spans="1:18" x14ac:dyDescent="0.25">
      <c r="A83" s="153" t="s">
        <v>105</v>
      </c>
      <c r="B83" s="154">
        <v>2000</v>
      </c>
      <c r="C83" s="155">
        <v>0</v>
      </c>
      <c r="D83" s="155">
        <v>0</v>
      </c>
      <c r="E83" s="155">
        <v>0</v>
      </c>
      <c r="F83" s="155">
        <v>0</v>
      </c>
      <c r="G83" s="155">
        <v>0</v>
      </c>
      <c r="H83" s="155">
        <v>0</v>
      </c>
      <c r="I83" s="155">
        <v>0</v>
      </c>
      <c r="J83" s="155">
        <v>0</v>
      </c>
      <c r="K83" s="155">
        <v>0</v>
      </c>
      <c r="L83" s="155">
        <v>0</v>
      </c>
      <c r="M83" s="155">
        <v>0</v>
      </c>
      <c r="N83" s="156"/>
      <c r="O83" s="157">
        <f>SUM(C83:M83)</f>
        <v>0</v>
      </c>
      <c r="P83" s="155">
        <f>B83</f>
        <v>2000</v>
      </c>
      <c r="Q83" s="157">
        <f>P83-O83</f>
        <v>2000</v>
      </c>
      <c r="R83" s="158">
        <f>IFERROR(Q83/P83,0)</f>
        <v>1</v>
      </c>
    </row>
    <row r="84" spans="1:18" x14ac:dyDescent="0.25">
      <c r="A84" s="153" t="s">
        <v>368</v>
      </c>
      <c r="B84" s="154">
        <v>751.5</v>
      </c>
      <c r="C84" s="155">
        <v>0</v>
      </c>
      <c r="D84" s="155">
        <v>0</v>
      </c>
      <c r="E84" s="155">
        <v>0</v>
      </c>
      <c r="F84" s="155">
        <v>0</v>
      </c>
      <c r="G84" s="155">
        <v>0</v>
      </c>
      <c r="H84" s="155">
        <v>0</v>
      </c>
      <c r="I84" s="155">
        <v>0</v>
      </c>
      <c r="J84" s="155">
        <v>0</v>
      </c>
      <c r="K84" s="155">
        <v>0</v>
      </c>
      <c r="L84" s="155">
        <v>0</v>
      </c>
      <c r="M84" s="155">
        <v>0</v>
      </c>
      <c r="N84" s="156"/>
      <c r="O84" s="157">
        <f>SUM(C84:M84)</f>
        <v>0</v>
      </c>
      <c r="P84" s="155">
        <f>B84</f>
        <v>751.5</v>
      </c>
      <c r="Q84" s="157">
        <f>P84-O84</f>
        <v>751.5</v>
      </c>
      <c r="R84" s="158">
        <f>IFERROR(Q84/P84,0)</f>
        <v>1</v>
      </c>
    </row>
    <row r="85" spans="1:18" x14ac:dyDescent="0.25">
      <c r="A85" s="153" t="s">
        <v>104</v>
      </c>
      <c r="B85" s="154">
        <v>25000</v>
      </c>
      <c r="C85" s="155">
        <v>0</v>
      </c>
      <c r="D85" s="155">
        <v>0</v>
      </c>
      <c r="E85" s="155">
        <v>0</v>
      </c>
      <c r="F85" s="155">
        <v>0</v>
      </c>
      <c r="G85" s="155">
        <v>0</v>
      </c>
      <c r="H85" s="155">
        <v>0</v>
      </c>
      <c r="I85" s="155">
        <v>0</v>
      </c>
      <c r="J85" s="155">
        <v>0</v>
      </c>
      <c r="K85" s="155">
        <v>0</v>
      </c>
      <c r="L85" s="155">
        <v>0</v>
      </c>
      <c r="M85" s="155">
        <v>0</v>
      </c>
      <c r="N85" s="156"/>
      <c r="O85" s="157">
        <f>SUM(C85:M85)</f>
        <v>0</v>
      </c>
      <c r="P85" s="155">
        <f>B85</f>
        <v>25000</v>
      </c>
      <c r="Q85" s="157">
        <f>P85-O85</f>
        <v>25000</v>
      </c>
      <c r="R85" s="158">
        <f>IFERROR(Q85/P85,0)</f>
        <v>1</v>
      </c>
    </row>
    <row r="86" spans="1:18" ht="15" x14ac:dyDescent="0.25">
      <c r="A86" s="62" t="s">
        <v>401</v>
      </c>
      <c r="B86" s="69"/>
      <c r="C86" s="169"/>
      <c r="D86" s="169"/>
      <c r="E86" s="169"/>
      <c r="F86" s="169"/>
      <c r="G86" s="169"/>
      <c r="H86" s="169"/>
      <c r="I86" s="169"/>
      <c r="J86" s="169"/>
      <c r="K86" s="169"/>
      <c r="L86" s="169"/>
      <c r="M86" s="169"/>
      <c r="N86" s="1"/>
      <c r="O86" s="170"/>
      <c r="P86" s="169"/>
      <c r="Q86" s="170"/>
      <c r="R86" s="68"/>
    </row>
    <row r="87" spans="1:18" x14ac:dyDescent="0.25">
      <c r="A87" s="153" t="s">
        <v>402</v>
      </c>
      <c r="B87" s="154">
        <v>749</v>
      </c>
      <c r="C87" s="155">
        <v>0</v>
      </c>
      <c r="D87" s="155">
        <v>0</v>
      </c>
      <c r="E87" s="155">
        <v>0</v>
      </c>
      <c r="F87" s="155">
        <v>0</v>
      </c>
      <c r="G87" s="155">
        <v>0</v>
      </c>
      <c r="H87" s="155">
        <v>0</v>
      </c>
      <c r="I87" s="155">
        <v>0</v>
      </c>
      <c r="J87" s="155">
        <v>0</v>
      </c>
      <c r="K87" s="155">
        <v>0</v>
      </c>
      <c r="L87" s="155">
        <v>0</v>
      </c>
      <c r="M87" s="155">
        <v>0</v>
      </c>
      <c r="N87" s="156"/>
      <c r="O87" s="157">
        <f>SUM(C87:M87)</f>
        <v>0</v>
      </c>
      <c r="P87" s="155">
        <f>B87</f>
        <v>749</v>
      </c>
      <c r="Q87" s="157">
        <f>P87-O87</f>
        <v>749</v>
      </c>
      <c r="R87" s="158">
        <f>IFERROR(Q87/P87,0)</f>
        <v>1</v>
      </c>
    </row>
    <row r="88" spans="1:18" x14ac:dyDescent="0.25">
      <c r="A88" s="153" t="s">
        <v>403</v>
      </c>
      <c r="B88" s="154">
        <v>749</v>
      </c>
      <c r="C88" s="155">
        <v>0</v>
      </c>
      <c r="D88" s="155">
        <v>0</v>
      </c>
      <c r="E88" s="155">
        <v>0</v>
      </c>
      <c r="F88" s="155">
        <v>0</v>
      </c>
      <c r="G88" s="155">
        <v>0</v>
      </c>
      <c r="H88" s="155">
        <v>0</v>
      </c>
      <c r="I88" s="155">
        <v>0</v>
      </c>
      <c r="J88" s="155">
        <v>0</v>
      </c>
      <c r="K88" s="155">
        <v>0</v>
      </c>
      <c r="L88" s="155">
        <v>0</v>
      </c>
      <c r="M88" s="155">
        <v>0</v>
      </c>
      <c r="N88" s="156"/>
      <c r="O88" s="157">
        <f t="shared" ref="O88:O94" si="24">SUM(C88:M88)</f>
        <v>0</v>
      </c>
      <c r="P88" s="155">
        <f t="shared" ref="P88:P94" si="25">B88</f>
        <v>749</v>
      </c>
      <c r="Q88" s="157">
        <f t="shared" ref="Q88:Q94" si="26">P88-O88</f>
        <v>749</v>
      </c>
      <c r="R88" s="158">
        <f t="shared" ref="R88:R94" si="27">IFERROR(Q88/P88,0)</f>
        <v>1</v>
      </c>
    </row>
    <row r="89" spans="1:18" x14ac:dyDescent="0.25">
      <c r="A89" s="153" t="s">
        <v>404</v>
      </c>
      <c r="B89" s="154">
        <v>749</v>
      </c>
      <c r="C89" s="155">
        <v>0</v>
      </c>
      <c r="D89" s="155">
        <v>0</v>
      </c>
      <c r="E89" s="155">
        <v>0</v>
      </c>
      <c r="F89" s="155">
        <v>0</v>
      </c>
      <c r="G89" s="155">
        <v>0</v>
      </c>
      <c r="H89" s="155">
        <v>0</v>
      </c>
      <c r="I89" s="155">
        <v>0</v>
      </c>
      <c r="J89" s="155">
        <v>0</v>
      </c>
      <c r="K89" s="155">
        <v>0</v>
      </c>
      <c r="L89" s="155">
        <v>0</v>
      </c>
      <c r="M89" s="155">
        <v>0</v>
      </c>
      <c r="N89" s="156"/>
      <c r="O89" s="157">
        <f t="shared" si="24"/>
        <v>0</v>
      </c>
      <c r="P89" s="155">
        <f t="shared" si="25"/>
        <v>749</v>
      </c>
      <c r="Q89" s="157">
        <f t="shared" si="26"/>
        <v>749</v>
      </c>
      <c r="R89" s="158">
        <f t="shared" si="27"/>
        <v>1</v>
      </c>
    </row>
    <row r="90" spans="1:18" x14ac:dyDescent="0.25">
      <c r="A90" s="153" t="s">
        <v>405</v>
      </c>
      <c r="B90" s="154">
        <v>749</v>
      </c>
      <c r="C90" s="155">
        <v>0</v>
      </c>
      <c r="D90" s="155">
        <v>0</v>
      </c>
      <c r="E90" s="155">
        <v>0</v>
      </c>
      <c r="F90" s="155">
        <v>0</v>
      </c>
      <c r="G90" s="155">
        <v>0</v>
      </c>
      <c r="H90" s="155">
        <v>0</v>
      </c>
      <c r="I90" s="155">
        <v>0</v>
      </c>
      <c r="J90" s="155">
        <v>0</v>
      </c>
      <c r="K90" s="155">
        <v>0</v>
      </c>
      <c r="L90" s="155">
        <v>0</v>
      </c>
      <c r="M90" s="155">
        <v>0</v>
      </c>
      <c r="N90" s="156"/>
      <c r="O90" s="157">
        <f t="shared" si="24"/>
        <v>0</v>
      </c>
      <c r="P90" s="155">
        <f t="shared" si="25"/>
        <v>749</v>
      </c>
      <c r="Q90" s="157">
        <f t="shared" si="26"/>
        <v>749</v>
      </c>
      <c r="R90" s="158">
        <f t="shared" si="27"/>
        <v>1</v>
      </c>
    </row>
    <row r="91" spans="1:18" x14ac:dyDescent="0.25">
      <c r="A91" s="153" t="s">
        <v>406</v>
      </c>
      <c r="B91" s="154">
        <v>749</v>
      </c>
      <c r="C91" s="155">
        <v>0</v>
      </c>
      <c r="D91" s="155">
        <v>0</v>
      </c>
      <c r="E91" s="155">
        <v>0</v>
      </c>
      <c r="F91" s="155">
        <v>0</v>
      </c>
      <c r="G91" s="155">
        <v>0</v>
      </c>
      <c r="H91" s="155">
        <v>0</v>
      </c>
      <c r="I91" s="155">
        <v>0</v>
      </c>
      <c r="J91" s="155">
        <v>0</v>
      </c>
      <c r="K91" s="155">
        <v>0</v>
      </c>
      <c r="L91" s="155">
        <v>0</v>
      </c>
      <c r="M91" s="155">
        <v>0</v>
      </c>
      <c r="N91" s="156"/>
      <c r="O91" s="157">
        <f t="shared" si="24"/>
        <v>0</v>
      </c>
      <c r="P91" s="155">
        <f t="shared" si="25"/>
        <v>749</v>
      </c>
      <c r="Q91" s="157">
        <f t="shared" si="26"/>
        <v>749</v>
      </c>
      <c r="R91" s="158">
        <f t="shared" si="27"/>
        <v>1</v>
      </c>
    </row>
    <row r="92" spans="1:18" x14ac:dyDescent="0.25">
      <c r="A92" s="153" t="s">
        <v>407</v>
      </c>
      <c r="B92" s="154">
        <v>749</v>
      </c>
      <c r="C92" s="155">
        <v>0</v>
      </c>
      <c r="D92" s="155">
        <v>0</v>
      </c>
      <c r="E92" s="155">
        <v>0</v>
      </c>
      <c r="F92" s="155">
        <v>0</v>
      </c>
      <c r="G92" s="155">
        <v>0</v>
      </c>
      <c r="H92" s="155">
        <v>0</v>
      </c>
      <c r="I92" s="155">
        <v>0</v>
      </c>
      <c r="J92" s="155">
        <v>0</v>
      </c>
      <c r="K92" s="155">
        <v>0</v>
      </c>
      <c r="L92" s="155">
        <v>0</v>
      </c>
      <c r="M92" s="155">
        <v>0</v>
      </c>
      <c r="N92" s="156"/>
      <c r="O92" s="157">
        <f t="shared" si="24"/>
        <v>0</v>
      </c>
      <c r="P92" s="155">
        <f t="shared" si="25"/>
        <v>749</v>
      </c>
      <c r="Q92" s="157">
        <f t="shared" si="26"/>
        <v>749</v>
      </c>
      <c r="R92" s="158">
        <f t="shared" si="27"/>
        <v>1</v>
      </c>
    </row>
    <row r="93" spans="1:18" x14ac:dyDescent="0.25">
      <c r="A93" s="153" t="s">
        <v>408</v>
      </c>
      <c r="B93" s="154">
        <v>749</v>
      </c>
      <c r="C93" s="155">
        <v>0</v>
      </c>
      <c r="D93" s="155">
        <v>0</v>
      </c>
      <c r="E93" s="155">
        <v>0</v>
      </c>
      <c r="F93" s="155">
        <v>0</v>
      </c>
      <c r="G93" s="155">
        <v>0</v>
      </c>
      <c r="H93" s="155">
        <v>0</v>
      </c>
      <c r="I93" s="155">
        <v>0</v>
      </c>
      <c r="J93" s="155">
        <v>0</v>
      </c>
      <c r="K93" s="155">
        <v>0</v>
      </c>
      <c r="L93" s="155">
        <v>0</v>
      </c>
      <c r="M93" s="155">
        <v>0</v>
      </c>
      <c r="N93" s="156"/>
      <c r="O93" s="157">
        <f t="shared" si="24"/>
        <v>0</v>
      </c>
      <c r="P93" s="155">
        <f t="shared" si="25"/>
        <v>749</v>
      </c>
      <c r="Q93" s="157">
        <f t="shared" si="26"/>
        <v>749</v>
      </c>
      <c r="R93" s="158">
        <f t="shared" si="27"/>
        <v>1</v>
      </c>
    </row>
    <row r="94" spans="1:18" x14ac:dyDescent="0.25">
      <c r="A94" s="153" t="s">
        <v>399</v>
      </c>
      <c r="B94" s="154">
        <v>749</v>
      </c>
      <c r="C94" s="155">
        <v>0</v>
      </c>
      <c r="D94" s="155">
        <v>0</v>
      </c>
      <c r="E94" s="155">
        <v>0</v>
      </c>
      <c r="F94" s="155">
        <v>0</v>
      </c>
      <c r="G94" s="155">
        <v>0</v>
      </c>
      <c r="H94" s="155">
        <v>0</v>
      </c>
      <c r="I94" s="155">
        <v>0</v>
      </c>
      <c r="J94" s="155">
        <v>0</v>
      </c>
      <c r="K94" s="155">
        <v>0</v>
      </c>
      <c r="L94" s="155">
        <v>0</v>
      </c>
      <c r="M94" s="155">
        <v>0</v>
      </c>
      <c r="N94" s="156"/>
      <c r="O94" s="157">
        <f t="shared" si="24"/>
        <v>0</v>
      </c>
      <c r="P94" s="155">
        <f t="shared" si="25"/>
        <v>749</v>
      </c>
      <c r="Q94" s="157">
        <f t="shared" si="26"/>
        <v>749</v>
      </c>
      <c r="R94" s="158">
        <f t="shared" si="27"/>
        <v>1</v>
      </c>
    </row>
    <row r="95" spans="1:18" x14ac:dyDescent="0.25">
      <c r="A95" s="153" t="s">
        <v>409</v>
      </c>
      <c r="B95" s="154">
        <v>749</v>
      </c>
      <c r="C95" s="155">
        <v>0</v>
      </c>
      <c r="D95" s="155">
        <v>0</v>
      </c>
      <c r="E95" s="155">
        <v>0</v>
      </c>
      <c r="F95" s="155">
        <v>0</v>
      </c>
      <c r="G95" s="155">
        <v>0</v>
      </c>
      <c r="H95" s="155">
        <v>0</v>
      </c>
      <c r="I95" s="155">
        <v>0</v>
      </c>
      <c r="J95" s="155">
        <v>0</v>
      </c>
      <c r="K95" s="155">
        <v>0</v>
      </c>
      <c r="L95" s="155">
        <v>0</v>
      </c>
      <c r="M95" s="155">
        <v>0</v>
      </c>
      <c r="N95" s="156"/>
      <c r="O95" s="157">
        <f>SUM(C95:M95)</f>
        <v>0</v>
      </c>
      <c r="P95" s="155">
        <f>B95</f>
        <v>749</v>
      </c>
      <c r="Q95" s="157">
        <f t="shared" ref="Q95:Q97" si="28">P95-O95</f>
        <v>749</v>
      </c>
      <c r="R95" s="158">
        <f t="shared" ref="R95:R96" si="29">IFERROR(Q95/P95,0)</f>
        <v>1</v>
      </c>
    </row>
    <row r="96" spans="1:18" x14ac:dyDescent="0.25">
      <c r="A96" s="153" t="s">
        <v>410</v>
      </c>
      <c r="B96" s="154">
        <v>749</v>
      </c>
      <c r="C96" s="155">
        <v>0</v>
      </c>
      <c r="D96" s="155">
        <v>0</v>
      </c>
      <c r="E96" s="155">
        <v>0</v>
      </c>
      <c r="F96" s="155">
        <v>0</v>
      </c>
      <c r="G96" s="155">
        <v>0</v>
      </c>
      <c r="H96" s="155">
        <v>0</v>
      </c>
      <c r="I96" s="155">
        <v>0</v>
      </c>
      <c r="J96" s="155">
        <v>0</v>
      </c>
      <c r="K96" s="155">
        <v>0</v>
      </c>
      <c r="L96" s="155">
        <v>0</v>
      </c>
      <c r="M96" s="155">
        <v>0</v>
      </c>
      <c r="N96" s="156"/>
      <c r="O96" s="157">
        <f>SUM(C96:M96)</f>
        <v>0</v>
      </c>
      <c r="P96" s="155">
        <f>B96</f>
        <v>749</v>
      </c>
      <c r="Q96" s="157">
        <f t="shared" si="28"/>
        <v>749</v>
      </c>
      <c r="R96" s="158">
        <f t="shared" si="29"/>
        <v>1</v>
      </c>
    </row>
    <row r="97" spans="1:23" x14ac:dyDescent="0.25">
      <c r="A97" s="153" t="s">
        <v>411</v>
      </c>
      <c r="B97" s="154">
        <v>749</v>
      </c>
      <c r="C97" s="155">
        <v>0</v>
      </c>
      <c r="D97" s="155">
        <v>0</v>
      </c>
      <c r="E97" s="155">
        <v>0</v>
      </c>
      <c r="F97" s="155">
        <v>0</v>
      </c>
      <c r="G97" s="155">
        <v>0</v>
      </c>
      <c r="H97" s="155">
        <v>0</v>
      </c>
      <c r="I97" s="155">
        <v>0</v>
      </c>
      <c r="J97" s="155">
        <v>0</v>
      </c>
      <c r="K97" s="155">
        <v>0</v>
      </c>
      <c r="L97" s="155">
        <v>0</v>
      </c>
      <c r="M97" s="155">
        <v>0</v>
      </c>
      <c r="N97" s="156"/>
      <c r="O97" s="157">
        <f>SUM(C97:M97)</f>
        <v>0</v>
      </c>
      <c r="P97" s="155">
        <f>B97</f>
        <v>749</v>
      </c>
      <c r="Q97" s="157">
        <f t="shared" si="28"/>
        <v>749</v>
      </c>
      <c r="R97" s="158">
        <f>IFERROR(Q97/P97,0)</f>
        <v>1</v>
      </c>
    </row>
    <row r="98" spans="1:23" x14ac:dyDescent="0.25">
      <c r="A98" s="40"/>
      <c r="B98" s="41"/>
      <c r="C98" s="61"/>
      <c r="D98" s="61"/>
      <c r="E98" s="61"/>
      <c r="F98" s="61"/>
      <c r="G98" s="61"/>
      <c r="H98" s="61"/>
      <c r="I98" s="61"/>
      <c r="J98" s="61"/>
      <c r="K98" s="61"/>
      <c r="L98" s="61"/>
      <c r="M98" s="61"/>
      <c r="N98" s="1"/>
      <c r="O98" s="150"/>
      <c r="P98" s="61"/>
      <c r="Q98" s="150"/>
      <c r="R98" s="4"/>
    </row>
    <row r="99" spans="1:23" x14ac:dyDescent="0.25">
      <c r="A99" s="40"/>
      <c r="B99" s="41"/>
      <c r="C99" s="34"/>
    </row>
    <row r="100" spans="1:23" s="149" customFormat="1" ht="15" x14ac:dyDescent="0.25">
      <c r="A100" s="145" t="s">
        <v>158</v>
      </c>
      <c r="B100" s="146">
        <f>SUM(B4:B99)</f>
        <v>699490.16250000009</v>
      </c>
      <c r="C100" s="146">
        <f>SUM(C4:C99)</f>
        <v>0</v>
      </c>
      <c r="D100" s="146">
        <f t="shared" ref="D100:L100" si="30">SUM(D4:D99)</f>
        <v>36437.75</v>
      </c>
      <c r="E100" s="146">
        <f t="shared" si="30"/>
        <v>0</v>
      </c>
      <c r="F100" s="146">
        <f t="shared" si="30"/>
        <v>0</v>
      </c>
      <c r="G100" s="146">
        <f t="shared" si="30"/>
        <v>1881.29</v>
      </c>
      <c r="H100" s="146">
        <f t="shared" si="30"/>
        <v>0</v>
      </c>
      <c r="I100" s="146">
        <f t="shared" si="30"/>
        <v>0</v>
      </c>
      <c r="J100" s="146">
        <f t="shared" si="30"/>
        <v>0</v>
      </c>
      <c r="K100" s="146">
        <f t="shared" si="30"/>
        <v>0</v>
      </c>
      <c r="L100" s="146">
        <f t="shared" si="30"/>
        <v>0</v>
      </c>
      <c r="M100" s="146">
        <f>SUM(M4:M99)</f>
        <v>0</v>
      </c>
      <c r="N100" s="147"/>
      <c r="O100" s="147">
        <f>SUM(O4:O99)</f>
        <v>38319.040000000001</v>
      </c>
      <c r="P100" s="147">
        <f>SUM(P4:P99)</f>
        <v>699430.16250000009</v>
      </c>
      <c r="Q100" s="147">
        <f>SUM(Q4:Q99)</f>
        <v>661111.12250000006</v>
      </c>
      <c r="R100" s="148">
        <f>AVERAGEA(R4:R98)</f>
        <v>0.87705058099794952</v>
      </c>
    </row>
    <row r="101" spans="1:23" ht="15" x14ac:dyDescent="0.25">
      <c r="A101" s="47"/>
      <c r="B101" s="44"/>
      <c r="C101" s="142"/>
      <c r="D101" s="142"/>
      <c r="E101" s="142"/>
      <c r="F101" s="142"/>
      <c r="G101" s="142"/>
      <c r="H101" s="142"/>
      <c r="I101" s="142"/>
      <c r="J101" s="142"/>
      <c r="K101" s="44"/>
      <c r="L101" s="44"/>
      <c r="M101" s="44"/>
      <c r="N101" s="44"/>
      <c r="O101" s="44"/>
      <c r="P101" s="35"/>
      <c r="Q101" s="35"/>
      <c r="R101" s="35"/>
      <c r="S101" s="35"/>
      <c r="T101" s="70"/>
    </row>
    <row r="102" spans="1:23" ht="15" x14ac:dyDescent="0.25">
      <c r="A102" s="47"/>
      <c r="B102" s="143" t="s">
        <v>82</v>
      </c>
      <c r="C102" s="144" t="s">
        <v>412</v>
      </c>
      <c r="D102" s="142"/>
      <c r="E102" s="142"/>
      <c r="F102" s="142"/>
      <c r="G102" s="142"/>
      <c r="H102" s="142"/>
      <c r="I102" s="142"/>
      <c r="J102" s="142"/>
      <c r="K102" s="44"/>
      <c r="L102" s="44"/>
      <c r="M102" s="44"/>
      <c r="N102" s="44"/>
      <c r="O102" s="44"/>
      <c r="P102" s="35"/>
      <c r="Q102" s="35"/>
      <c r="R102" s="35"/>
      <c r="S102" s="35"/>
      <c r="T102" s="70"/>
    </row>
    <row r="103" spans="1:23" ht="15" x14ac:dyDescent="0.25">
      <c r="A103" s="47" t="s">
        <v>413</v>
      </c>
      <c r="B103" s="44">
        <f>B100</f>
        <v>699490.16250000009</v>
      </c>
      <c r="C103" s="44">
        <f>O100</f>
        <v>38319.040000000001</v>
      </c>
    </row>
    <row r="104" spans="1:23" ht="15" x14ac:dyDescent="0.25">
      <c r="A104" s="42">
        <v>7.6200000000000004E-2</v>
      </c>
      <c r="B104" s="44">
        <f>(B100*A104)</f>
        <v>53301.150382500011</v>
      </c>
      <c r="C104" s="44">
        <f>C103*A104</f>
        <v>2919.910848</v>
      </c>
      <c r="I104" s="197"/>
      <c r="J104" s="197"/>
      <c r="K104" s="197"/>
      <c r="L104" s="197"/>
      <c r="M104" s="197"/>
      <c r="N104" s="197"/>
      <c r="O104" s="197"/>
      <c r="P104" s="197"/>
      <c r="Q104" s="197"/>
      <c r="R104" s="197"/>
      <c r="S104" s="197"/>
    </row>
    <row r="105" spans="1:23" s="31" customFormat="1" ht="15" x14ac:dyDescent="0.25">
      <c r="A105" s="47" t="s">
        <v>160</v>
      </c>
      <c r="B105" s="44">
        <f>B103+B104</f>
        <v>752791.31288250012</v>
      </c>
      <c r="C105" s="44">
        <f>C103+C104</f>
        <v>41238.950848</v>
      </c>
      <c r="D105" s="34"/>
      <c r="I105" s="34"/>
      <c r="J105" s="34"/>
      <c r="K105" s="35"/>
      <c r="L105" s="134"/>
      <c r="M105" s="34"/>
      <c r="N105" s="131"/>
      <c r="O105" s="34"/>
      <c r="P105" s="34"/>
      <c r="Q105" s="34"/>
      <c r="R105" s="34"/>
      <c r="S105" s="34"/>
    </row>
    <row r="106" spans="1:23" ht="15" x14ac:dyDescent="0.25">
      <c r="A106" s="50" t="s">
        <v>161</v>
      </c>
      <c r="B106" s="173"/>
      <c r="C106" s="173">
        <f>B157</f>
        <v>172968</v>
      </c>
      <c r="D106" s="127" t="s">
        <v>414</v>
      </c>
      <c r="I106" s="132"/>
      <c r="J106" s="86"/>
      <c r="K106" s="86"/>
      <c r="L106" s="123"/>
      <c r="M106" s="86"/>
      <c r="N106" s="86"/>
      <c r="O106" s="86"/>
      <c r="P106" s="86"/>
      <c r="Q106" s="86"/>
      <c r="R106" s="86"/>
      <c r="S106" s="86"/>
    </row>
    <row r="107" spans="1:23" ht="15" x14ac:dyDescent="0.25">
      <c r="A107" s="33" t="s">
        <v>80</v>
      </c>
      <c r="B107" s="94">
        <f>B106-B105</f>
        <v>-752791.31288250012</v>
      </c>
      <c r="C107" s="94">
        <f>C106-C105</f>
        <v>131729.04915199999</v>
      </c>
      <c r="D107" s="129"/>
      <c r="I107" s="132"/>
      <c r="J107" s="86"/>
      <c r="K107" s="86"/>
      <c r="L107" s="123"/>
      <c r="M107" s="86"/>
      <c r="N107" s="86"/>
      <c r="O107" s="86"/>
      <c r="P107" s="86"/>
      <c r="Q107" s="86"/>
      <c r="R107" s="86"/>
      <c r="S107" s="86"/>
    </row>
    <row r="108" spans="1:23" x14ac:dyDescent="0.25">
      <c r="A108" s="33"/>
      <c r="B108" s="36"/>
      <c r="C108" s="36"/>
      <c r="D108" s="130"/>
      <c r="E108" s="32"/>
      <c r="I108" s="133"/>
      <c r="J108" s="86"/>
      <c r="K108" s="86"/>
      <c r="L108" s="123"/>
      <c r="M108" s="86"/>
      <c r="N108" s="86"/>
      <c r="O108" s="86"/>
      <c r="P108" s="86"/>
      <c r="Q108" s="86"/>
      <c r="R108" s="86"/>
      <c r="S108" s="86"/>
    </row>
    <row r="109" spans="1:23" x14ac:dyDescent="0.25">
      <c r="A109" s="33"/>
      <c r="B109" s="36"/>
      <c r="C109" s="36"/>
      <c r="I109" s="133"/>
      <c r="J109" s="86"/>
      <c r="K109" s="86"/>
      <c r="L109" s="123"/>
      <c r="M109" s="86"/>
      <c r="N109" s="86"/>
      <c r="O109" s="86"/>
      <c r="P109" s="86"/>
      <c r="Q109" s="86"/>
      <c r="R109" s="86"/>
      <c r="S109" s="86"/>
    </row>
    <row r="110" spans="1:23" ht="17.25" customHeight="1" x14ac:dyDescent="0.25">
      <c r="A110" s="53" t="s">
        <v>162</v>
      </c>
      <c r="B110" s="54" t="s">
        <v>82</v>
      </c>
      <c r="C110" s="54"/>
      <c r="I110" s="133"/>
      <c r="J110" s="86"/>
      <c r="K110" s="86"/>
      <c r="L110" s="123"/>
      <c r="M110" s="86"/>
      <c r="N110" s="86"/>
      <c r="O110" s="86"/>
      <c r="P110" s="86"/>
      <c r="Q110" s="86"/>
      <c r="R110" s="86"/>
      <c r="S110" s="86"/>
      <c r="T110" s="138"/>
      <c r="U110" s="138"/>
    </row>
    <row r="111" spans="1:23" ht="15" x14ac:dyDescent="0.25">
      <c r="A111" s="53"/>
      <c r="B111" s="174" t="s">
        <v>82</v>
      </c>
      <c r="C111" s="175" t="s">
        <v>412</v>
      </c>
      <c r="I111" s="133"/>
      <c r="J111" s="86"/>
      <c r="K111" s="86"/>
      <c r="L111" s="123"/>
      <c r="M111" s="86"/>
      <c r="N111" s="86"/>
      <c r="O111" s="86"/>
      <c r="P111" s="86"/>
      <c r="Q111" s="86"/>
      <c r="R111" s="86"/>
      <c r="S111" s="86"/>
      <c r="T111" s="86"/>
      <c r="U111" s="86"/>
      <c r="W111" s="86"/>
    </row>
    <row r="112" spans="1:23" ht="17.399999999999999" x14ac:dyDescent="0.3">
      <c r="A112" s="192" t="s">
        <v>163</v>
      </c>
      <c r="B112" s="51"/>
      <c r="C112" s="176"/>
      <c r="D112" s="31"/>
      <c r="E112" s="31"/>
      <c r="F112" s="31"/>
      <c r="G112" s="31"/>
      <c r="H112" s="31"/>
      <c r="I112" s="177"/>
      <c r="J112" s="97"/>
      <c r="K112" s="97"/>
      <c r="L112" s="102"/>
      <c r="M112" s="86"/>
      <c r="N112" s="86"/>
      <c r="O112" s="86"/>
      <c r="P112" s="86"/>
      <c r="Q112" s="86"/>
      <c r="R112" s="86"/>
      <c r="S112" s="86"/>
      <c r="T112" s="35"/>
      <c r="U112" s="35"/>
      <c r="V112" s="86"/>
      <c r="W112" s="86"/>
    </row>
    <row r="113" spans="1:26" ht="15" x14ac:dyDescent="0.25">
      <c r="A113" s="31" t="s">
        <v>415</v>
      </c>
      <c r="B113" s="57"/>
      <c r="C113" s="178">
        <f>D115</f>
        <v>152047</v>
      </c>
      <c r="D113" s="194">
        <f>B105</f>
        <v>752791.31288250012</v>
      </c>
      <c r="E113" s="196" t="s">
        <v>416</v>
      </c>
      <c r="F113" s="196"/>
      <c r="G113" s="179"/>
      <c r="H113" s="180"/>
      <c r="I113" s="181"/>
      <c r="J113" s="97"/>
      <c r="K113" s="97"/>
      <c r="L113" s="97"/>
      <c r="M113" s="86"/>
      <c r="N113" s="86"/>
      <c r="O113" s="86"/>
      <c r="P113" s="86"/>
      <c r="Q113" s="86"/>
      <c r="R113" s="86"/>
      <c r="S113" s="86"/>
      <c r="T113" s="35"/>
      <c r="U113" s="35"/>
      <c r="V113" s="86"/>
      <c r="W113" s="86"/>
      <c r="X113" s="140"/>
      <c r="Y113" s="137"/>
      <c r="Z113" s="137"/>
    </row>
    <row r="114" spans="1:26" ht="14.1" customHeight="1" x14ac:dyDescent="0.25">
      <c r="A114" s="31" t="s">
        <v>554</v>
      </c>
      <c r="B114" s="57"/>
      <c r="C114" s="182">
        <f>D116</f>
        <v>0</v>
      </c>
      <c r="D114" s="57">
        <f>B157</f>
        <v>172968</v>
      </c>
      <c r="E114" s="31"/>
      <c r="F114" s="31" t="s">
        <v>418</v>
      </c>
      <c r="G114" s="31"/>
      <c r="H114" s="181"/>
      <c r="I114" s="177"/>
      <c r="J114" s="57"/>
      <c r="K114" s="198"/>
      <c r="L114" s="198"/>
      <c r="M114" s="35"/>
      <c r="N114" s="35"/>
      <c r="O114" s="35"/>
      <c r="P114" s="35"/>
      <c r="Q114" s="35"/>
      <c r="R114" s="139"/>
      <c r="S114" s="139"/>
      <c r="T114" s="35"/>
      <c r="U114" s="35"/>
      <c r="V114" s="86"/>
      <c r="W114" s="86"/>
      <c r="X114" s="140"/>
      <c r="Y114" s="137"/>
      <c r="Z114" s="137"/>
    </row>
    <row r="115" spans="1:26" ht="15" x14ac:dyDescent="0.25">
      <c r="A115" s="31" t="s">
        <v>419</v>
      </c>
      <c r="B115" s="57"/>
      <c r="C115" s="182"/>
      <c r="D115" s="183">
        <f>749*E115</f>
        <v>152047</v>
      </c>
      <c r="E115" s="176">
        <v>203</v>
      </c>
      <c r="F115" s="31" t="s">
        <v>420</v>
      </c>
      <c r="G115" s="31"/>
      <c r="H115" s="31"/>
      <c r="I115" s="181"/>
      <c r="J115" s="195"/>
      <c r="K115" s="195"/>
      <c r="L115" s="97"/>
      <c r="M115" s="35"/>
      <c r="N115" s="35"/>
      <c r="O115" s="35"/>
      <c r="P115" s="35"/>
      <c r="Q115" s="35"/>
      <c r="R115" s="35"/>
      <c r="S115" s="35"/>
      <c r="T115" s="86" t="s">
        <v>421</v>
      </c>
      <c r="U115" s="35"/>
      <c r="V115" s="35"/>
      <c r="W115" s="86"/>
      <c r="X115" s="86"/>
    </row>
    <row r="116" spans="1:26" ht="15" x14ac:dyDescent="0.25">
      <c r="A116" s="31" t="s">
        <v>422</v>
      </c>
      <c r="B116" s="57"/>
      <c r="C116" s="182"/>
      <c r="D116" s="183">
        <f>849*E116</f>
        <v>0</v>
      </c>
      <c r="E116" s="176">
        <v>0</v>
      </c>
      <c r="F116" s="31" t="s">
        <v>423</v>
      </c>
      <c r="G116" s="31"/>
      <c r="H116" s="31"/>
      <c r="I116" s="181"/>
      <c r="J116" s="195"/>
      <c r="K116" s="195"/>
      <c r="L116" s="97"/>
      <c r="M116" s="35"/>
      <c r="N116" s="35"/>
      <c r="O116" s="35"/>
      <c r="P116" s="35"/>
      <c r="Q116" s="35"/>
      <c r="R116" s="35"/>
      <c r="S116" s="35"/>
      <c r="T116" s="86" t="s">
        <v>424</v>
      </c>
      <c r="U116" s="35"/>
      <c r="V116" s="35"/>
      <c r="W116" s="35"/>
      <c r="X116" s="86"/>
    </row>
    <row r="117" spans="1:26" ht="15" x14ac:dyDescent="0.25">
      <c r="A117" s="31" t="s">
        <v>425</v>
      </c>
      <c r="B117" s="57"/>
      <c r="C117" s="182"/>
      <c r="D117" s="183">
        <f>(D114+D115+D116)-D113</f>
        <v>-427776.31288250012</v>
      </c>
      <c r="E117" s="182">
        <f>(D117/749)*-1</f>
        <v>571.12992374165572</v>
      </c>
      <c r="F117" s="50" t="s">
        <v>426</v>
      </c>
      <c r="G117" s="31"/>
      <c r="H117" s="31"/>
      <c r="I117" s="181"/>
      <c r="J117" s="195"/>
      <c r="K117" s="195"/>
      <c r="L117" s="97"/>
      <c r="M117" s="35"/>
      <c r="N117" s="35"/>
      <c r="O117" s="35"/>
      <c r="P117" s="35"/>
      <c r="Q117" s="35"/>
      <c r="R117" s="35"/>
      <c r="S117" s="35"/>
      <c r="T117" s="86" t="s">
        <v>427</v>
      </c>
      <c r="W117" s="86"/>
    </row>
    <row r="118" spans="1:26" ht="15" x14ac:dyDescent="0.25">
      <c r="A118" s="31" t="s">
        <v>428</v>
      </c>
      <c r="B118" s="57"/>
      <c r="C118" s="182"/>
      <c r="D118" s="57"/>
      <c r="E118" s="31"/>
      <c r="F118" s="31"/>
      <c r="G118" s="31"/>
      <c r="H118" s="181"/>
      <c r="I118" s="195"/>
      <c r="J118" s="195"/>
      <c r="K118" s="97"/>
      <c r="L118" s="57"/>
      <c r="M118" s="35"/>
      <c r="N118" s="35"/>
      <c r="O118" s="35"/>
      <c r="P118" s="35"/>
      <c r="Q118" s="35"/>
      <c r="R118" s="35"/>
      <c r="S118" s="86" t="s">
        <v>429</v>
      </c>
      <c r="W118" s="135"/>
    </row>
    <row r="119" spans="1:26" ht="15" x14ac:dyDescent="0.25">
      <c r="A119" s="31"/>
      <c r="B119" s="57"/>
      <c r="C119" s="182"/>
      <c r="D119" s="57"/>
      <c r="E119" s="182">
        <f>(D113-D114)/749</f>
        <v>774.12992374165572</v>
      </c>
      <c r="F119" s="31" t="s">
        <v>430</v>
      </c>
      <c r="G119" s="31"/>
      <c r="H119" s="181"/>
      <c r="I119" s="185"/>
      <c r="J119" s="185"/>
      <c r="K119" s="97"/>
      <c r="L119" s="57"/>
      <c r="M119" s="35"/>
      <c r="N119" s="35"/>
      <c r="O119" s="35"/>
      <c r="P119" s="35"/>
      <c r="Q119" s="35"/>
      <c r="R119" s="35"/>
      <c r="S119" s="86" t="s">
        <v>431</v>
      </c>
      <c r="T119" s="135"/>
      <c r="U119" s="135"/>
      <c r="V119" s="135"/>
      <c r="W119" s="135"/>
    </row>
    <row r="120" spans="1:26" ht="15" x14ac:dyDescent="0.25">
      <c r="A120" s="50"/>
      <c r="B120" s="51"/>
      <c r="C120" s="184"/>
      <c r="D120" s="179"/>
      <c r="E120" s="186">
        <f>(D113-D114-D115)/749</f>
        <v>571.12992374165572</v>
      </c>
      <c r="F120" s="196" t="s">
        <v>432</v>
      </c>
      <c r="G120" s="196"/>
      <c r="H120" s="196"/>
      <c r="I120" s="196"/>
      <c r="J120" s="196"/>
      <c r="K120" s="97"/>
      <c r="L120" s="57"/>
      <c r="M120" s="35"/>
      <c r="N120" s="35"/>
      <c r="O120" s="35"/>
      <c r="P120" s="35"/>
      <c r="Q120" s="35"/>
      <c r="R120" s="35"/>
      <c r="S120" s="135"/>
    </row>
    <row r="121" spans="1:26" ht="17.399999999999999" x14ac:dyDescent="0.3">
      <c r="A121" s="192" t="s">
        <v>174</v>
      </c>
      <c r="B121" s="57"/>
      <c r="C121" s="57"/>
      <c r="D121" s="187"/>
      <c r="E121" s="187"/>
      <c r="F121" s="31"/>
      <c r="G121" s="31"/>
      <c r="H121" s="31"/>
      <c r="I121" s="195"/>
      <c r="J121" s="195"/>
      <c r="K121" s="97"/>
      <c r="L121" s="57"/>
      <c r="M121" s="35"/>
      <c r="N121" s="35"/>
      <c r="O121" s="35"/>
      <c r="P121" s="35"/>
      <c r="Q121" s="35"/>
      <c r="R121" s="35"/>
      <c r="S121" s="135"/>
    </row>
    <row r="122" spans="1:26" ht="15" x14ac:dyDescent="0.25">
      <c r="A122" s="31" t="s">
        <v>433</v>
      </c>
      <c r="B122" s="57">
        <v>150000</v>
      </c>
      <c r="C122" s="31"/>
      <c r="D122" s="57"/>
      <c r="E122" s="187"/>
      <c r="F122" s="187"/>
      <c r="G122" s="31"/>
      <c r="H122" s="31"/>
      <c r="I122" s="195"/>
      <c r="J122" s="195"/>
      <c r="K122" s="97"/>
      <c r="L122" s="57"/>
      <c r="M122" s="35"/>
      <c r="N122" s="35"/>
      <c r="O122" s="35"/>
      <c r="P122" s="35"/>
      <c r="Q122" s="35"/>
      <c r="R122" s="35"/>
      <c r="S122" s="135"/>
    </row>
    <row r="123" spans="1:26" ht="15" x14ac:dyDescent="0.25">
      <c r="A123" s="31" t="s">
        <v>434</v>
      </c>
      <c r="B123" s="57">
        <v>10000</v>
      </c>
      <c r="C123" s="31"/>
      <c r="D123" s="57" t="s">
        <v>435</v>
      </c>
      <c r="E123" s="187"/>
      <c r="F123" s="187"/>
      <c r="G123" s="31"/>
      <c r="H123" s="31"/>
      <c r="I123" s="195"/>
      <c r="J123" s="195"/>
      <c r="K123" s="97"/>
      <c r="L123" s="57"/>
      <c r="M123" s="35"/>
      <c r="N123" s="35"/>
      <c r="O123" s="35"/>
      <c r="P123" s="35"/>
      <c r="Q123" s="35"/>
      <c r="R123" s="35"/>
      <c r="S123" s="135"/>
    </row>
    <row r="124" spans="1:26" ht="15" x14ac:dyDescent="0.25">
      <c r="A124" s="31" t="s">
        <v>436</v>
      </c>
      <c r="B124" s="193">
        <v>2000</v>
      </c>
      <c r="C124" s="57"/>
      <c r="D124" s="57"/>
      <c r="E124" s="187"/>
      <c r="F124" s="187"/>
      <c r="G124" s="31"/>
      <c r="H124" s="31"/>
      <c r="I124" s="195"/>
      <c r="J124" s="195"/>
      <c r="K124" s="97"/>
      <c r="L124" s="57"/>
      <c r="M124" s="35"/>
      <c r="N124" s="35"/>
      <c r="O124" s="35"/>
      <c r="P124" s="35"/>
      <c r="Q124" s="35"/>
      <c r="R124" s="35"/>
      <c r="S124" s="135"/>
    </row>
    <row r="125" spans="1:26" ht="15" x14ac:dyDescent="0.25">
      <c r="A125" s="31"/>
      <c r="B125" s="57"/>
      <c r="C125" s="57"/>
      <c r="D125" s="57"/>
      <c r="E125" s="187"/>
      <c r="F125" s="31"/>
      <c r="G125" s="31"/>
      <c r="H125" s="31"/>
      <c r="I125" s="31"/>
      <c r="J125" s="31"/>
      <c r="K125" s="97"/>
      <c r="L125" s="57"/>
      <c r="M125" s="35"/>
      <c r="N125" s="35"/>
      <c r="O125" s="35"/>
      <c r="P125" s="35"/>
      <c r="Q125" s="35"/>
      <c r="R125" s="35"/>
      <c r="S125" s="135"/>
    </row>
    <row r="126" spans="1:26" ht="15" x14ac:dyDescent="0.25">
      <c r="A126" s="31"/>
      <c r="B126" s="57"/>
      <c r="C126" s="57"/>
      <c r="D126" s="57"/>
      <c r="E126" s="31"/>
      <c r="F126" s="31"/>
      <c r="G126" s="31"/>
      <c r="H126" s="31"/>
      <c r="I126" s="52"/>
      <c r="J126" s="31"/>
      <c r="K126" s="97"/>
      <c r="L126" s="57"/>
      <c r="M126" s="35"/>
      <c r="N126" s="35"/>
      <c r="O126" s="35"/>
      <c r="P126" s="35"/>
      <c r="Q126" s="35"/>
      <c r="R126" s="35"/>
      <c r="S126" s="135"/>
    </row>
    <row r="127" spans="1:26" ht="15" x14ac:dyDescent="0.25">
      <c r="A127" s="31"/>
      <c r="B127" s="57"/>
      <c r="C127" s="57"/>
      <c r="D127" s="188"/>
      <c r="E127" s="31"/>
      <c r="F127" s="31"/>
      <c r="G127" s="31"/>
      <c r="H127" s="31"/>
      <c r="I127" s="31"/>
      <c r="J127" s="31"/>
      <c r="K127" s="97"/>
      <c r="L127" s="57"/>
      <c r="M127" s="35"/>
      <c r="N127" s="35"/>
      <c r="O127" s="35"/>
      <c r="P127" s="35"/>
      <c r="Q127" s="35"/>
      <c r="R127" s="35"/>
      <c r="S127" s="135"/>
    </row>
    <row r="128" spans="1:26" ht="15" x14ac:dyDescent="0.25">
      <c r="A128" s="31"/>
      <c r="B128" s="57"/>
      <c r="C128" s="57"/>
      <c r="D128" s="188"/>
      <c r="E128" s="31"/>
      <c r="F128" s="31"/>
      <c r="G128" s="31"/>
      <c r="H128" s="31"/>
      <c r="I128" s="31"/>
      <c r="J128" s="31"/>
      <c r="K128" s="97"/>
      <c r="L128" s="57"/>
      <c r="M128" s="35"/>
      <c r="N128" s="35"/>
      <c r="O128" s="35"/>
      <c r="P128" s="35"/>
      <c r="Q128" s="35"/>
      <c r="R128" s="35"/>
    </row>
    <row r="129" spans="1:18" ht="15" x14ac:dyDescent="0.25">
      <c r="A129" s="52"/>
      <c r="B129" s="189"/>
      <c r="C129" s="189"/>
      <c r="D129" s="188"/>
      <c r="E129" s="31"/>
      <c r="F129" s="31"/>
      <c r="G129" s="31"/>
      <c r="H129" s="31"/>
      <c r="I129" s="31"/>
      <c r="J129" s="31"/>
      <c r="K129" s="97"/>
      <c r="L129" s="57"/>
      <c r="M129" s="35"/>
      <c r="N129" s="35"/>
      <c r="O129" s="35"/>
      <c r="P129" s="35"/>
      <c r="Q129" s="35"/>
      <c r="R129" s="35"/>
    </row>
    <row r="130" spans="1:18" ht="15" x14ac:dyDescent="0.25">
      <c r="A130" s="52"/>
      <c r="B130" s="189"/>
      <c r="C130" s="189"/>
      <c r="D130" s="57"/>
      <c r="E130" s="31"/>
      <c r="F130" s="31"/>
      <c r="G130" s="31"/>
      <c r="H130" s="31"/>
      <c r="I130" s="31"/>
      <c r="J130" s="31"/>
      <c r="K130" s="97"/>
      <c r="L130" s="57"/>
      <c r="M130" s="35"/>
      <c r="N130" s="35"/>
      <c r="O130" s="35"/>
      <c r="P130" s="35"/>
      <c r="Q130" s="35"/>
      <c r="R130" s="35"/>
    </row>
    <row r="131" spans="1:18" ht="15" x14ac:dyDescent="0.25">
      <c r="A131" s="181" t="s">
        <v>437</v>
      </c>
      <c r="B131" s="57"/>
      <c r="C131" s="190">
        <f>SUM(B122:B129)</f>
        <v>162000</v>
      </c>
      <c r="D131" s="57"/>
      <c r="E131" s="31"/>
      <c r="F131" s="31"/>
      <c r="G131" s="31"/>
      <c r="H131" s="31"/>
      <c r="I131" s="31"/>
      <c r="J131" s="31"/>
      <c r="K131" s="97"/>
      <c r="L131" s="57"/>
      <c r="M131" s="35"/>
      <c r="N131" s="35"/>
      <c r="O131" s="35"/>
      <c r="P131" s="35"/>
      <c r="Q131" s="35"/>
      <c r="R131" s="35"/>
    </row>
    <row r="132" spans="1:18" ht="15" x14ac:dyDescent="0.25">
      <c r="A132" s="31"/>
      <c r="B132" s="57"/>
      <c r="C132" s="57"/>
      <c r="D132" s="57"/>
      <c r="E132" s="31"/>
      <c r="F132" s="31"/>
      <c r="G132" s="31"/>
      <c r="H132" s="31"/>
      <c r="I132" s="31"/>
      <c r="J132" s="31"/>
      <c r="K132" s="97"/>
      <c r="L132" s="57"/>
      <c r="M132" s="35"/>
      <c r="N132" s="35"/>
      <c r="O132" s="35"/>
      <c r="P132" s="35"/>
      <c r="Q132" s="35"/>
      <c r="R132" s="35"/>
    </row>
    <row r="133" spans="1:18" ht="15" x14ac:dyDescent="0.25">
      <c r="A133" s="31"/>
      <c r="B133" s="57"/>
      <c r="C133" s="57"/>
      <c r="D133" s="57"/>
      <c r="E133" s="31"/>
      <c r="F133" s="31"/>
      <c r="G133" s="31"/>
      <c r="H133" s="31"/>
      <c r="I133" s="195"/>
      <c r="J133" s="195"/>
      <c r="K133" s="97"/>
      <c r="L133" s="57"/>
      <c r="M133" s="35"/>
      <c r="N133" s="35"/>
      <c r="O133" s="35"/>
      <c r="P133" s="35"/>
      <c r="Q133" s="35"/>
      <c r="R133" s="35"/>
    </row>
    <row r="134" spans="1:18" ht="15" x14ac:dyDescent="0.25">
      <c r="A134" s="31"/>
      <c r="B134" s="57"/>
      <c r="C134" s="57"/>
      <c r="D134" s="57"/>
      <c r="E134" s="31"/>
      <c r="F134" s="31"/>
      <c r="G134" s="31"/>
      <c r="H134" s="31"/>
      <c r="I134" s="195"/>
      <c r="J134" s="195"/>
      <c r="K134" s="97"/>
      <c r="L134" s="57"/>
      <c r="M134" s="35"/>
      <c r="N134" s="35"/>
      <c r="O134" s="35"/>
      <c r="P134" s="35"/>
      <c r="Q134" s="35"/>
      <c r="R134" s="35"/>
    </row>
    <row r="135" spans="1:18" ht="15" x14ac:dyDescent="0.25">
      <c r="A135" s="50" t="s">
        <v>438</v>
      </c>
      <c r="B135" s="57"/>
      <c r="C135" s="57"/>
      <c r="D135" s="188"/>
      <c r="E135" s="31"/>
      <c r="F135" s="31"/>
      <c r="G135" s="31"/>
      <c r="H135" s="31"/>
      <c r="I135" s="195"/>
      <c r="J135" s="195"/>
      <c r="K135" s="57"/>
      <c r="L135" s="57"/>
      <c r="M135" s="35"/>
      <c r="N135" s="35"/>
      <c r="O135" s="35"/>
      <c r="P135" s="35"/>
      <c r="Q135" s="35"/>
      <c r="R135" s="35"/>
    </row>
    <row r="136" spans="1:18" ht="15" x14ac:dyDescent="0.25">
      <c r="A136" s="31" t="s">
        <v>439</v>
      </c>
      <c r="B136" s="57">
        <v>1500</v>
      </c>
      <c r="C136" s="57"/>
      <c r="D136" s="188"/>
      <c r="E136" s="31"/>
      <c r="F136" s="31"/>
      <c r="G136" s="31"/>
      <c r="H136" s="31"/>
      <c r="I136" s="177"/>
      <c r="J136" s="57"/>
      <c r="K136" s="57"/>
      <c r="L136" s="57"/>
      <c r="M136" s="35"/>
      <c r="N136" s="35"/>
      <c r="O136" s="35"/>
      <c r="P136" s="35"/>
      <c r="Q136" s="35"/>
      <c r="R136" s="35"/>
    </row>
    <row r="137" spans="1:18" ht="15" x14ac:dyDescent="0.25">
      <c r="A137" s="31" t="s">
        <v>440</v>
      </c>
      <c r="B137" s="57">
        <v>1500</v>
      </c>
      <c r="C137" s="57"/>
      <c r="D137" s="57"/>
      <c r="E137" s="31"/>
      <c r="F137" s="31"/>
      <c r="G137" s="31"/>
      <c r="H137" s="31"/>
      <c r="I137" s="177"/>
      <c r="J137" s="57"/>
      <c r="K137" s="57"/>
      <c r="L137" s="57"/>
      <c r="M137" s="35"/>
      <c r="N137" s="35"/>
      <c r="O137" s="35"/>
      <c r="P137" s="35"/>
      <c r="Q137" s="35"/>
      <c r="R137" s="35"/>
    </row>
    <row r="138" spans="1:18" ht="15" x14ac:dyDescent="0.25">
      <c r="A138" s="31" t="s">
        <v>441</v>
      </c>
      <c r="B138" s="57">
        <v>2200</v>
      </c>
      <c r="C138" s="57"/>
      <c r="D138" s="57"/>
      <c r="E138" s="31"/>
      <c r="F138" s="31"/>
      <c r="G138" s="31"/>
      <c r="H138" s="31"/>
      <c r="I138" s="177"/>
      <c r="J138" s="57"/>
      <c r="K138" s="57"/>
      <c r="L138" s="57"/>
      <c r="M138" s="35"/>
      <c r="N138" s="35"/>
      <c r="O138" s="35"/>
      <c r="P138" s="35"/>
      <c r="Q138" s="35"/>
      <c r="R138" s="35"/>
    </row>
    <row r="139" spans="1:18" ht="15" x14ac:dyDescent="0.25">
      <c r="A139" s="31" t="s">
        <v>442</v>
      </c>
      <c r="B139" s="57">
        <v>1957</v>
      </c>
      <c r="C139" s="57"/>
      <c r="D139" s="57"/>
      <c r="E139" s="31"/>
      <c r="F139" s="31"/>
      <c r="G139" s="31"/>
      <c r="H139" s="31"/>
      <c r="I139" s="177"/>
      <c r="J139" s="57"/>
      <c r="K139" s="57"/>
      <c r="L139" s="57"/>
      <c r="M139" s="35"/>
      <c r="N139" s="35"/>
      <c r="O139" s="35"/>
      <c r="P139" s="35"/>
      <c r="Q139" s="35"/>
      <c r="R139" s="35"/>
    </row>
    <row r="140" spans="1:18" ht="15" x14ac:dyDescent="0.25">
      <c r="A140" s="31" t="s">
        <v>443</v>
      </c>
      <c r="B140" s="57">
        <v>2266</v>
      </c>
      <c r="C140" s="57"/>
      <c r="D140" s="57"/>
      <c r="E140" s="31"/>
      <c r="F140" s="31"/>
      <c r="G140" s="31"/>
      <c r="H140" s="31"/>
      <c r="I140" s="177"/>
      <c r="J140" s="57"/>
      <c r="K140" s="57"/>
      <c r="L140" s="57"/>
      <c r="M140" s="35"/>
      <c r="N140" s="35"/>
      <c r="O140" s="35"/>
      <c r="P140" s="35"/>
      <c r="Q140" s="35"/>
      <c r="R140" s="35"/>
    </row>
    <row r="141" spans="1:18" ht="15" x14ac:dyDescent="0.25">
      <c r="A141" s="31" t="s">
        <v>444</v>
      </c>
      <c r="B141" s="57">
        <v>1545</v>
      </c>
      <c r="C141" s="57"/>
      <c r="D141" s="57"/>
      <c r="E141" s="31"/>
      <c r="F141" s="31"/>
      <c r="G141" s="31"/>
      <c r="H141" s="31"/>
      <c r="I141" s="177"/>
      <c r="J141" s="31"/>
      <c r="K141" s="191"/>
      <c r="L141" s="181"/>
      <c r="M141" s="35"/>
      <c r="N141" s="131"/>
      <c r="O141" s="35"/>
      <c r="P141" s="35"/>
      <c r="Q141" s="35"/>
      <c r="R141" s="35"/>
    </row>
    <row r="142" spans="1:18" ht="15" x14ac:dyDescent="0.25">
      <c r="A142" s="31"/>
      <c r="B142" s="57"/>
      <c r="C142" s="57"/>
      <c r="D142" s="57"/>
      <c r="E142" s="31"/>
      <c r="F142" s="31"/>
      <c r="G142" s="31"/>
      <c r="H142" s="31"/>
      <c r="I142" s="185"/>
      <c r="J142" s="57"/>
      <c r="K142" s="31"/>
      <c r="L142" s="181"/>
      <c r="M142" s="35"/>
      <c r="N142" s="131"/>
      <c r="O142" s="35"/>
      <c r="P142" s="35"/>
      <c r="Q142" s="35"/>
      <c r="R142" s="35"/>
    </row>
    <row r="143" spans="1:18" ht="15" x14ac:dyDescent="0.25">
      <c r="A143" s="31"/>
      <c r="B143" s="57"/>
      <c r="C143" s="57"/>
      <c r="D143" s="57"/>
      <c r="E143" s="31"/>
      <c r="F143" s="31"/>
      <c r="G143" s="31"/>
      <c r="H143" s="31"/>
      <c r="I143" s="31"/>
      <c r="J143" s="57"/>
      <c r="K143" s="31"/>
      <c r="L143" s="181"/>
      <c r="M143" s="35"/>
      <c r="N143" s="131"/>
      <c r="O143" s="35"/>
      <c r="P143" s="35"/>
    </row>
    <row r="144" spans="1:18" ht="15" x14ac:dyDescent="0.25">
      <c r="A144" s="31"/>
      <c r="B144" s="57"/>
      <c r="C144" s="57"/>
      <c r="D144" s="57"/>
      <c r="E144" s="31"/>
      <c r="F144" s="31"/>
      <c r="G144" s="31"/>
      <c r="H144" s="31"/>
      <c r="I144" s="31"/>
      <c r="J144" s="57"/>
      <c r="K144" s="31"/>
      <c r="L144" s="181"/>
      <c r="M144" s="35"/>
      <c r="N144" s="131"/>
      <c r="O144" s="35"/>
      <c r="P144" s="35"/>
      <c r="Q144" s="86"/>
      <c r="R144" s="86"/>
    </row>
    <row r="145" spans="1:18" ht="15" x14ac:dyDescent="0.25">
      <c r="A145" s="31"/>
      <c r="B145" s="57"/>
      <c r="C145" s="57"/>
      <c r="D145" s="57"/>
      <c r="E145" s="31"/>
      <c r="F145" s="31"/>
      <c r="G145" s="31"/>
      <c r="H145" s="31"/>
      <c r="I145" s="31"/>
      <c r="J145" s="57"/>
      <c r="K145" s="31"/>
      <c r="L145" s="181"/>
      <c r="M145" s="35"/>
      <c r="N145" s="135"/>
      <c r="O145" s="35"/>
      <c r="P145" s="35"/>
      <c r="Q145" s="86"/>
      <c r="R145" s="86"/>
    </row>
    <row r="146" spans="1:18" ht="15" x14ac:dyDescent="0.25">
      <c r="A146" s="31"/>
      <c r="B146" s="57"/>
      <c r="C146" s="57"/>
      <c r="D146" s="57"/>
      <c r="E146" s="31"/>
      <c r="F146" s="31"/>
      <c r="G146" s="31"/>
      <c r="H146" s="31"/>
      <c r="I146" s="31"/>
      <c r="J146" s="57"/>
      <c r="K146" s="31"/>
      <c r="L146" s="181"/>
      <c r="M146" s="35"/>
      <c r="N146" s="131"/>
      <c r="O146" s="35"/>
      <c r="P146" s="35"/>
      <c r="Q146" s="86"/>
      <c r="R146" s="135"/>
    </row>
    <row r="147" spans="1:18" ht="15" x14ac:dyDescent="0.25">
      <c r="A147" s="31"/>
      <c r="B147" s="57"/>
      <c r="C147" s="57"/>
      <c r="D147" s="57"/>
      <c r="E147" s="31"/>
      <c r="F147" s="31"/>
      <c r="G147" s="31"/>
      <c r="H147" s="31"/>
      <c r="I147" s="31"/>
      <c r="J147" s="57"/>
      <c r="K147" s="31"/>
      <c r="L147" s="181"/>
      <c r="M147" s="35"/>
      <c r="N147" s="131"/>
      <c r="O147" s="35"/>
      <c r="P147" s="35"/>
      <c r="Q147" s="86"/>
      <c r="R147" s="135"/>
    </row>
    <row r="148" spans="1:18" ht="15" x14ac:dyDescent="0.25">
      <c r="A148" s="31"/>
      <c r="B148" s="57"/>
      <c r="C148" s="57"/>
      <c r="D148" s="57"/>
      <c r="E148" s="31"/>
      <c r="F148" s="31"/>
      <c r="G148" s="31"/>
      <c r="H148" s="31"/>
      <c r="I148" s="31"/>
      <c r="J148" s="191"/>
      <c r="K148" s="191"/>
      <c r="L148" s="181"/>
      <c r="M148" s="35"/>
      <c r="N148" s="135"/>
      <c r="O148" s="35"/>
      <c r="P148" s="35"/>
      <c r="Q148" s="86"/>
      <c r="R148" s="135"/>
    </row>
    <row r="149" spans="1:18" ht="15" x14ac:dyDescent="0.25">
      <c r="A149" s="31"/>
      <c r="B149" s="57"/>
      <c r="C149" s="57"/>
      <c r="D149" s="57"/>
      <c r="E149" s="31"/>
      <c r="F149" s="31"/>
      <c r="G149" s="31"/>
      <c r="H149" s="31"/>
      <c r="I149" s="31"/>
      <c r="J149" s="191"/>
      <c r="K149" s="31"/>
      <c r="L149" s="181"/>
      <c r="M149" s="35"/>
      <c r="N149" s="131"/>
      <c r="O149" s="35"/>
      <c r="P149" s="35"/>
      <c r="Q149" s="86"/>
      <c r="R149" s="135"/>
    </row>
    <row r="150" spans="1:18" ht="15" x14ac:dyDescent="0.25">
      <c r="A150" s="31"/>
      <c r="B150" s="57"/>
      <c r="C150" s="57"/>
      <c r="D150" s="31"/>
      <c r="E150" s="31"/>
      <c r="F150" s="31"/>
      <c r="G150" s="31"/>
      <c r="H150" s="57"/>
      <c r="I150" s="31"/>
      <c r="J150" s="191"/>
      <c r="K150" s="31"/>
      <c r="L150" s="181"/>
      <c r="M150" s="35"/>
      <c r="N150" s="131"/>
      <c r="O150" s="35"/>
      <c r="P150" s="35"/>
      <c r="Q150" s="86"/>
      <c r="R150" s="135"/>
    </row>
    <row r="151" spans="1:18" ht="15" x14ac:dyDescent="0.25">
      <c r="A151" s="31"/>
      <c r="B151" s="57"/>
      <c r="C151" s="57"/>
      <c r="D151" s="57"/>
      <c r="E151" s="31"/>
      <c r="F151" s="31"/>
      <c r="G151" s="31"/>
      <c r="H151" s="57"/>
      <c r="I151" s="31"/>
      <c r="J151" s="191"/>
      <c r="K151" s="191"/>
      <c r="L151" s="181"/>
      <c r="M151" s="35"/>
      <c r="N151" s="131"/>
      <c r="O151" s="35"/>
      <c r="P151" s="86"/>
      <c r="Q151" s="86"/>
      <c r="R151" s="135"/>
    </row>
    <row r="152" spans="1:18" ht="15" x14ac:dyDescent="0.25">
      <c r="A152" s="181" t="s">
        <v>437</v>
      </c>
      <c r="B152" s="57"/>
      <c r="C152" s="57">
        <f>SUM(B136:B151)</f>
        <v>10968</v>
      </c>
      <c r="H152" s="35"/>
      <c r="L152" s="134"/>
      <c r="M152" s="35"/>
      <c r="N152" s="131"/>
      <c r="O152" s="35"/>
      <c r="P152" s="86"/>
      <c r="Q152" s="86"/>
      <c r="R152" s="135"/>
    </row>
    <row r="153" spans="1:18" x14ac:dyDescent="0.25">
      <c r="H153" s="35"/>
      <c r="L153" s="134"/>
      <c r="M153" s="35"/>
      <c r="N153" s="131"/>
      <c r="O153" s="35"/>
      <c r="P153" s="86"/>
      <c r="Q153" s="86"/>
      <c r="R153" s="135"/>
    </row>
    <row r="154" spans="1:18" x14ac:dyDescent="0.25">
      <c r="H154" s="35"/>
      <c r="L154" s="134"/>
      <c r="M154" s="35"/>
      <c r="N154" s="131"/>
      <c r="O154" s="35"/>
      <c r="P154" s="86"/>
      <c r="Q154" s="135"/>
    </row>
    <row r="155" spans="1:18" x14ac:dyDescent="0.25">
      <c r="A155" s="33" t="s">
        <v>198</v>
      </c>
      <c r="B155" s="36">
        <f>SUM(B113:B151)</f>
        <v>172968</v>
      </c>
      <c r="C155" s="36"/>
      <c r="H155" s="35"/>
      <c r="K155" s="35"/>
      <c r="L155" s="134"/>
      <c r="M155" s="86"/>
      <c r="N155" s="131"/>
      <c r="O155" s="35"/>
      <c r="P155" s="86"/>
      <c r="Q155" s="135"/>
    </row>
    <row r="156" spans="1:18" x14ac:dyDescent="0.25">
      <c r="A156" s="33"/>
      <c r="B156" s="36"/>
      <c r="C156" s="36"/>
      <c r="K156" s="35"/>
      <c r="L156" s="134"/>
      <c r="M156" s="86"/>
      <c r="N156" s="131"/>
      <c r="O156" s="35"/>
      <c r="P156" s="86"/>
      <c r="Q156" s="135"/>
    </row>
    <row r="157" spans="1:18" ht="15" x14ac:dyDescent="0.25">
      <c r="A157" s="50" t="s">
        <v>199</v>
      </c>
      <c r="B157" s="51">
        <f>SUM(B113:B151)</f>
        <v>172968</v>
      </c>
      <c r="C157" s="51"/>
      <c r="K157" s="35"/>
      <c r="L157" s="134"/>
      <c r="M157" s="86"/>
      <c r="N157" s="131"/>
      <c r="Q157" s="135"/>
    </row>
    <row r="158" spans="1:18" x14ac:dyDescent="0.25">
      <c r="A158" s="33"/>
      <c r="B158" s="36"/>
      <c r="C158" s="36"/>
      <c r="K158" s="35"/>
      <c r="L158" s="134"/>
      <c r="M158" s="86"/>
      <c r="N158" s="131"/>
      <c r="Q158" s="135"/>
    </row>
    <row r="159" spans="1:18" x14ac:dyDescent="0.25">
      <c r="K159" s="35"/>
      <c r="L159" s="134"/>
      <c r="M159" s="86"/>
      <c r="N159" s="131"/>
      <c r="Q159" s="135"/>
    </row>
    <row r="160" spans="1:18" x14ac:dyDescent="0.25">
      <c r="K160" s="35"/>
      <c r="L160" s="134"/>
      <c r="N160" s="131"/>
    </row>
    <row r="172" spans="10:18" x14ac:dyDescent="0.25">
      <c r="J172" s="86"/>
      <c r="K172" s="86"/>
    </row>
    <row r="173" spans="10:18" x14ac:dyDescent="0.25">
      <c r="J173" s="86"/>
      <c r="K173" s="86"/>
      <c r="N173" s="86"/>
      <c r="O173" s="86"/>
      <c r="P173" s="86"/>
    </row>
    <row r="174" spans="10:18" x14ac:dyDescent="0.25">
      <c r="J174" s="86"/>
      <c r="K174" s="86"/>
      <c r="L174" s="86"/>
      <c r="M174" s="86"/>
      <c r="N174" s="86"/>
      <c r="O174" s="86"/>
      <c r="P174" s="86"/>
    </row>
    <row r="175" spans="10:18" x14ac:dyDescent="0.25">
      <c r="J175" s="86"/>
      <c r="K175" s="86"/>
      <c r="L175" s="86"/>
      <c r="M175" s="86"/>
      <c r="N175" s="86"/>
      <c r="O175" s="86"/>
      <c r="P175" s="86"/>
      <c r="Q175" s="86"/>
      <c r="R175" s="86"/>
    </row>
    <row r="176" spans="10:18" x14ac:dyDescent="0.25">
      <c r="Q176" s="86"/>
      <c r="R176" s="86"/>
    </row>
    <row r="177" spans="1:18" x14ac:dyDescent="0.25">
      <c r="Q177" s="86"/>
      <c r="R177" s="86"/>
    </row>
    <row r="178" spans="1:18" x14ac:dyDescent="0.25">
      <c r="Q178" s="86"/>
      <c r="R178" s="86"/>
    </row>
    <row r="179" spans="1:18" x14ac:dyDescent="0.25">
      <c r="A179" s="134"/>
    </row>
    <row r="180" spans="1:18" x14ac:dyDescent="0.25">
      <c r="A180" s="134"/>
    </row>
    <row r="181" spans="1:18" x14ac:dyDescent="0.25">
      <c r="A181" s="134"/>
    </row>
    <row r="182" spans="1:18" x14ac:dyDescent="0.25">
      <c r="A182" s="134"/>
    </row>
    <row r="183" spans="1:18" x14ac:dyDescent="0.25">
      <c r="A183" s="134"/>
    </row>
    <row r="184" spans="1:18" x14ac:dyDescent="0.25">
      <c r="A184" s="134"/>
    </row>
    <row r="185" spans="1:18" x14ac:dyDescent="0.25">
      <c r="A185" s="134"/>
    </row>
    <row r="186" spans="1:18" x14ac:dyDescent="0.25">
      <c r="A186" s="134"/>
    </row>
    <row r="187" spans="1:18" x14ac:dyDescent="0.25">
      <c r="A187" s="134"/>
    </row>
  </sheetData>
  <sortState xmlns:xlrd2="http://schemas.microsoft.com/office/spreadsheetml/2017/richdata2" ref="A87:A97">
    <sortCondition ref="A87:A97"/>
  </sortState>
  <mergeCells count="15">
    <mergeCell ref="I135:J135"/>
    <mergeCell ref="I121:J121"/>
    <mergeCell ref="I122:J122"/>
    <mergeCell ref="I123:J123"/>
    <mergeCell ref="I124:J124"/>
    <mergeCell ref="I133:J133"/>
    <mergeCell ref="I134:J134"/>
    <mergeCell ref="I118:J118"/>
    <mergeCell ref="J115:K115"/>
    <mergeCell ref="F120:J120"/>
    <mergeCell ref="I104:S104"/>
    <mergeCell ref="K114:L114"/>
    <mergeCell ref="E113:F113"/>
    <mergeCell ref="J116:K116"/>
    <mergeCell ref="J117:K117"/>
  </mergeCells>
  <pageMargins left="0.25" right="0.25" top="0.75" bottom="0.75" header="0.3" footer="0.3"/>
  <pageSetup scale="23" orientation="portrait"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2B776B-3143-4A4C-87DF-FC6EB99F277A}">
  <sheetPr>
    <pageSetUpPr fitToPage="1"/>
  </sheetPr>
  <dimension ref="A1:AA205"/>
  <sheetViews>
    <sheetView zoomScale="90" zoomScaleNormal="90" workbookViewId="0">
      <pane ySplit="1" topLeftCell="A94" activePane="bottomLeft" state="frozen"/>
      <selection pane="bottomLeft" activeCell="C115" sqref="C115"/>
    </sheetView>
  </sheetViews>
  <sheetFormatPr defaultColWidth="8.88671875" defaultRowHeight="13.8" x14ac:dyDescent="0.25"/>
  <cols>
    <col min="1" max="1" width="65.44140625" style="34" bestFit="1" customWidth="1"/>
    <col min="2" max="2" width="16" style="35" customWidth="1"/>
    <col min="3" max="3" width="14.33203125" style="35" customWidth="1"/>
    <col min="4" max="8" width="14.33203125" style="34" customWidth="1"/>
    <col min="9" max="9" width="15.44140625" style="34" customWidth="1"/>
    <col min="10" max="14" width="14.33203125" style="34" customWidth="1"/>
    <col min="15" max="15" width="13.88671875" style="34" customWidth="1"/>
    <col min="16" max="16" width="15.44140625" style="34" customWidth="1"/>
    <col min="17" max="17" width="17.44140625" style="34" customWidth="1"/>
    <col min="18" max="19" width="15.109375" style="34" bestFit="1" customWidth="1"/>
    <col min="20" max="20" width="13" style="34" bestFit="1" customWidth="1"/>
    <col min="21" max="21" width="13.44140625" style="34" bestFit="1" customWidth="1"/>
    <col min="22" max="22" width="11" style="34" bestFit="1" customWidth="1"/>
    <col min="23" max="23" width="13.88671875" style="34" customWidth="1"/>
    <col min="24" max="24" width="27.88671875" style="34" bestFit="1" customWidth="1"/>
    <col min="25" max="28" width="8.88671875" style="34"/>
    <col min="29" max="29" width="7.44140625" style="34" customWidth="1"/>
    <col min="30" max="16384" width="8.88671875" style="34"/>
  </cols>
  <sheetData>
    <row r="1" spans="1:27" s="31" customFormat="1" ht="15" x14ac:dyDescent="0.25">
      <c r="A1" s="53" t="s">
        <v>81</v>
      </c>
      <c r="B1" s="54" t="s">
        <v>82</v>
      </c>
      <c r="C1" s="72">
        <v>45536</v>
      </c>
      <c r="D1" s="72">
        <v>45566</v>
      </c>
      <c r="E1" s="72">
        <v>45597</v>
      </c>
      <c r="F1" s="72">
        <v>45627</v>
      </c>
      <c r="G1" s="72">
        <v>45658</v>
      </c>
      <c r="H1" s="72">
        <v>45689</v>
      </c>
      <c r="I1" s="72">
        <v>45717</v>
      </c>
      <c r="J1" s="72">
        <v>45748</v>
      </c>
      <c r="K1" s="72">
        <v>45778</v>
      </c>
      <c r="L1" s="72">
        <v>45809</v>
      </c>
      <c r="M1" s="72">
        <v>45839</v>
      </c>
      <c r="N1" s="72">
        <v>45870</v>
      </c>
      <c r="O1" s="72">
        <v>45901</v>
      </c>
      <c r="P1" s="72"/>
      <c r="Q1" s="74" t="s">
        <v>85</v>
      </c>
      <c r="R1" s="74" t="s">
        <v>82</v>
      </c>
      <c r="S1" s="74" t="s">
        <v>86</v>
      </c>
      <c r="T1" s="75" t="s">
        <v>87</v>
      </c>
    </row>
    <row r="2" spans="1:27" s="50" customFormat="1" ht="15" x14ac:dyDescent="0.25">
      <c r="A2" s="62" t="s">
        <v>88</v>
      </c>
      <c r="B2" s="63"/>
      <c r="C2" s="63"/>
      <c r="D2" s="64"/>
      <c r="E2" s="64"/>
      <c r="F2" s="64"/>
      <c r="G2" s="64"/>
      <c r="H2" s="64"/>
      <c r="I2" s="64"/>
      <c r="J2" s="64"/>
      <c r="K2" s="64"/>
      <c r="L2" s="64"/>
      <c r="M2" s="64"/>
      <c r="N2" s="64"/>
      <c r="O2" s="64"/>
      <c r="P2" s="64"/>
      <c r="Q2" s="64"/>
      <c r="R2" s="64"/>
      <c r="S2" s="64"/>
      <c r="T2" s="64"/>
    </row>
    <row r="3" spans="1:27" x14ac:dyDescent="0.25">
      <c r="A3" s="40" t="s">
        <v>54</v>
      </c>
      <c r="B3" s="41">
        <v>960</v>
      </c>
      <c r="C3" s="2">
        <v>0</v>
      </c>
      <c r="D3" s="2">
        <v>0</v>
      </c>
      <c r="E3" s="2">
        <v>0</v>
      </c>
      <c r="F3" s="2">
        <v>0</v>
      </c>
      <c r="G3" s="2">
        <v>0</v>
      </c>
      <c r="H3" s="2">
        <v>0</v>
      </c>
      <c r="I3" s="2">
        <v>0</v>
      </c>
      <c r="J3" s="2">
        <v>480</v>
      </c>
      <c r="K3" s="2">
        <v>0</v>
      </c>
      <c r="L3" s="2">
        <v>0</v>
      </c>
      <c r="M3" s="2">
        <v>0</v>
      </c>
      <c r="N3" s="2">
        <v>0</v>
      </c>
      <c r="O3" s="2">
        <v>480</v>
      </c>
      <c r="P3" s="1"/>
      <c r="Q3" s="3">
        <f t="shared" ref="Q3:Q12" si="0">SUM(C3:O3)</f>
        <v>960</v>
      </c>
      <c r="R3" s="2">
        <f t="shared" ref="R3:R12" si="1">B3</f>
        <v>960</v>
      </c>
      <c r="S3" s="3">
        <f t="shared" ref="S3:S12" si="2">R3-Q3</f>
        <v>0</v>
      </c>
      <c r="T3" s="4">
        <f t="shared" ref="T3:T12" si="3">IFERROR(S3/R3,0)</f>
        <v>0</v>
      </c>
    </row>
    <row r="4" spans="1:27" x14ac:dyDescent="0.25">
      <c r="A4" s="40" t="s">
        <v>89</v>
      </c>
      <c r="B4" s="41">
        <v>741.8</v>
      </c>
      <c r="C4" s="2">
        <v>0</v>
      </c>
      <c r="D4" s="2">
        <v>0</v>
      </c>
      <c r="E4" s="2">
        <v>741.8</v>
      </c>
      <c r="F4" s="2">
        <v>0</v>
      </c>
      <c r="G4" s="2">
        <v>0</v>
      </c>
      <c r="H4" s="2">
        <v>0</v>
      </c>
      <c r="I4" s="2">
        <v>0</v>
      </c>
      <c r="J4" s="2">
        <v>0</v>
      </c>
      <c r="K4" s="2">
        <v>0</v>
      </c>
      <c r="L4" s="2">
        <v>0</v>
      </c>
      <c r="M4" s="2">
        <v>0</v>
      </c>
      <c r="N4" s="2">
        <v>0</v>
      </c>
      <c r="O4" s="2">
        <v>0</v>
      </c>
      <c r="P4" s="1"/>
      <c r="Q4" s="3">
        <f t="shared" si="0"/>
        <v>741.8</v>
      </c>
      <c r="R4" s="2">
        <f t="shared" si="1"/>
        <v>741.8</v>
      </c>
      <c r="S4" s="3">
        <f t="shared" si="2"/>
        <v>0</v>
      </c>
      <c r="T4" s="4">
        <f t="shared" si="3"/>
        <v>0</v>
      </c>
    </row>
    <row r="5" spans="1:27" x14ac:dyDescent="0.25">
      <c r="A5" s="40" t="s">
        <v>395</v>
      </c>
      <c r="B5" s="41">
        <v>63</v>
      </c>
      <c r="C5" s="2">
        <v>0</v>
      </c>
      <c r="D5" s="2">
        <v>0</v>
      </c>
      <c r="E5" s="2">
        <v>0</v>
      </c>
      <c r="F5" s="2">
        <v>0</v>
      </c>
      <c r="G5" s="2">
        <v>0</v>
      </c>
      <c r="H5" s="2">
        <v>0</v>
      </c>
      <c r="I5" s="2">
        <v>0</v>
      </c>
      <c r="J5" s="2">
        <v>0</v>
      </c>
      <c r="K5" s="2">
        <v>0</v>
      </c>
      <c r="L5" s="2">
        <v>0</v>
      </c>
      <c r="M5" s="2">
        <v>0</v>
      </c>
      <c r="N5" s="2">
        <v>63</v>
      </c>
      <c r="O5" s="2">
        <v>0</v>
      </c>
      <c r="P5" s="1"/>
      <c r="Q5" s="3">
        <f t="shared" si="0"/>
        <v>63</v>
      </c>
      <c r="R5" s="2">
        <f t="shared" si="1"/>
        <v>63</v>
      </c>
      <c r="S5" s="3">
        <f t="shared" ref="S5" si="4">R5-Q5</f>
        <v>0</v>
      </c>
      <c r="T5" s="4">
        <f t="shared" ref="T5" si="5">IFERROR(S5/R5,0)</f>
        <v>0</v>
      </c>
    </row>
    <row r="6" spans="1:27" x14ac:dyDescent="0.25">
      <c r="A6" s="40" t="s">
        <v>396</v>
      </c>
      <c r="B6" s="41">
        <v>4868.62</v>
      </c>
      <c r="C6" s="2">
        <v>0</v>
      </c>
      <c r="D6" s="2">
        <v>0</v>
      </c>
      <c r="E6" s="2">
        <v>0</v>
      </c>
      <c r="F6" s="2">
        <v>0</v>
      </c>
      <c r="G6" s="2">
        <v>0</v>
      </c>
      <c r="H6" s="2">
        <v>0</v>
      </c>
      <c r="I6" s="2">
        <v>0</v>
      </c>
      <c r="J6" s="2">
        <v>0</v>
      </c>
      <c r="K6" s="2">
        <v>0</v>
      </c>
      <c r="L6" s="2">
        <v>0</v>
      </c>
      <c r="M6" s="2">
        <v>0</v>
      </c>
      <c r="N6" s="2">
        <v>4868.62</v>
      </c>
      <c r="O6" s="2">
        <v>0</v>
      </c>
      <c r="P6" s="1"/>
      <c r="Q6" s="3">
        <f>SUM(C6:O6)</f>
        <v>4868.62</v>
      </c>
      <c r="R6" s="2">
        <f>B6</f>
        <v>4868.62</v>
      </c>
      <c r="S6" s="3">
        <f>R6-Q6</f>
        <v>0</v>
      </c>
      <c r="T6" s="4">
        <f>IFERROR(S6/R6,0)</f>
        <v>0</v>
      </c>
    </row>
    <row r="7" spans="1:27" x14ac:dyDescent="0.25">
      <c r="A7" s="40" t="s">
        <v>90</v>
      </c>
      <c r="B7" s="41">
        <v>990</v>
      </c>
      <c r="C7" s="2">
        <v>0</v>
      </c>
      <c r="D7" s="2">
        <v>260</v>
      </c>
      <c r="E7" s="2">
        <v>0</v>
      </c>
      <c r="F7" s="2">
        <v>0</v>
      </c>
      <c r="G7" s="2">
        <v>230</v>
      </c>
      <c r="H7" s="2">
        <v>0</v>
      </c>
      <c r="I7" s="2">
        <v>0</v>
      </c>
      <c r="J7" s="2">
        <v>290</v>
      </c>
      <c r="K7" s="2">
        <v>0</v>
      </c>
      <c r="L7" s="2">
        <v>210</v>
      </c>
      <c r="M7" s="2">
        <v>0</v>
      </c>
      <c r="N7" s="2">
        <v>0</v>
      </c>
      <c r="O7" s="2">
        <v>0</v>
      </c>
      <c r="P7" s="1"/>
      <c r="Q7" s="3">
        <f t="shared" si="0"/>
        <v>990</v>
      </c>
      <c r="R7" s="2">
        <f t="shared" si="1"/>
        <v>990</v>
      </c>
      <c r="S7" s="3">
        <f t="shared" si="2"/>
        <v>0</v>
      </c>
      <c r="T7" s="4">
        <f t="shared" si="3"/>
        <v>0</v>
      </c>
    </row>
    <row r="8" spans="1:27" x14ac:dyDescent="0.25">
      <c r="A8" s="40" t="s">
        <v>91</v>
      </c>
      <c r="B8" s="41">
        <v>10124.93</v>
      </c>
      <c r="C8" s="2">
        <v>0</v>
      </c>
      <c r="D8" s="2">
        <v>0</v>
      </c>
      <c r="E8" s="2">
        <v>0</v>
      </c>
      <c r="F8" s="2">
        <v>0</v>
      </c>
      <c r="G8" s="2">
        <v>0</v>
      </c>
      <c r="H8" s="2">
        <v>0</v>
      </c>
      <c r="I8" s="2">
        <v>0</v>
      </c>
      <c r="J8" s="2">
        <v>0</v>
      </c>
      <c r="K8" s="2">
        <v>0</v>
      </c>
      <c r="L8" s="2">
        <v>0</v>
      </c>
      <c r="M8" s="2">
        <v>0</v>
      </c>
      <c r="N8" s="2">
        <v>10124.93</v>
      </c>
      <c r="O8" s="2">
        <v>0</v>
      </c>
      <c r="P8" s="1"/>
      <c r="Q8" s="3">
        <f t="shared" si="0"/>
        <v>10124.93</v>
      </c>
      <c r="R8" s="2">
        <f t="shared" si="1"/>
        <v>10124.93</v>
      </c>
      <c r="S8" s="3">
        <f t="shared" si="2"/>
        <v>0</v>
      </c>
      <c r="T8" s="4">
        <f t="shared" si="3"/>
        <v>0</v>
      </c>
    </row>
    <row r="9" spans="1:27" s="32" customFormat="1" x14ac:dyDescent="0.25">
      <c r="A9" s="40" t="s">
        <v>398</v>
      </c>
      <c r="B9" s="41">
        <v>22000</v>
      </c>
      <c r="C9" s="2">
        <v>0</v>
      </c>
      <c r="D9" s="2">
        <v>0</v>
      </c>
      <c r="E9" s="2">
        <v>0</v>
      </c>
      <c r="F9" s="2">
        <v>7000</v>
      </c>
      <c r="G9" s="2">
        <v>0</v>
      </c>
      <c r="H9" s="2">
        <v>0</v>
      </c>
      <c r="I9" s="2">
        <v>0</v>
      </c>
      <c r="J9" s="2">
        <v>7000</v>
      </c>
      <c r="K9" s="2">
        <v>0</v>
      </c>
      <c r="L9" s="2">
        <v>0</v>
      </c>
      <c r="M9" s="2">
        <v>8000</v>
      </c>
      <c r="N9" s="2">
        <v>0</v>
      </c>
      <c r="O9" s="2">
        <v>0</v>
      </c>
      <c r="P9" s="1"/>
      <c r="Q9" s="3">
        <f t="shared" si="0"/>
        <v>22000</v>
      </c>
      <c r="R9" s="2">
        <f t="shared" si="1"/>
        <v>22000</v>
      </c>
      <c r="S9" s="3">
        <f t="shared" si="2"/>
        <v>0</v>
      </c>
      <c r="T9" s="4">
        <f t="shared" si="3"/>
        <v>0</v>
      </c>
    </row>
    <row r="10" spans="1:27" x14ac:dyDescent="0.25">
      <c r="A10" s="40" t="s">
        <v>93</v>
      </c>
      <c r="B10" s="41">
        <v>6615.6</v>
      </c>
      <c r="C10" s="2">
        <v>0</v>
      </c>
      <c r="D10" s="2">
        <v>0</v>
      </c>
      <c r="E10" s="2">
        <v>957.33</v>
      </c>
      <c r="F10" s="2">
        <v>184.75</v>
      </c>
      <c r="G10" s="2">
        <v>0</v>
      </c>
      <c r="H10" s="2">
        <v>225</v>
      </c>
      <c r="I10" s="2">
        <v>532.5</v>
      </c>
      <c r="J10" s="2">
        <v>0</v>
      </c>
      <c r="K10" s="2">
        <v>0</v>
      </c>
      <c r="L10" s="2">
        <f>650.91+4065.11</f>
        <v>4716.0200000000004</v>
      </c>
      <c r="M10" s="2">
        <v>0</v>
      </c>
      <c r="N10" s="2">
        <v>0</v>
      </c>
      <c r="O10" s="2">
        <v>0</v>
      </c>
      <c r="P10" s="1"/>
      <c r="Q10" s="3">
        <f t="shared" si="0"/>
        <v>6615.6</v>
      </c>
      <c r="R10" s="2">
        <f t="shared" si="1"/>
        <v>6615.6</v>
      </c>
      <c r="S10" s="3">
        <f t="shared" si="2"/>
        <v>0</v>
      </c>
      <c r="T10" s="4">
        <f t="shared" si="3"/>
        <v>0</v>
      </c>
    </row>
    <row r="11" spans="1:27" x14ac:dyDescent="0.25">
      <c r="A11" s="40" t="s">
        <v>299</v>
      </c>
      <c r="B11" s="41">
        <v>0</v>
      </c>
      <c r="C11" s="2">
        <v>0</v>
      </c>
      <c r="D11" s="2">
        <v>0</v>
      </c>
      <c r="E11" s="2">
        <v>0</v>
      </c>
      <c r="F11" s="2">
        <v>0</v>
      </c>
      <c r="G11" s="2">
        <v>0</v>
      </c>
      <c r="H11" s="2">
        <v>0</v>
      </c>
      <c r="I11" s="2">
        <v>0</v>
      </c>
      <c r="J11" s="2">
        <v>0</v>
      </c>
      <c r="K11" s="2">
        <v>0</v>
      </c>
      <c r="L11" s="2">
        <v>0</v>
      </c>
      <c r="M11" s="2">
        <v>0</v>
      </c>
      <c r="N11" s="2">
        <v>0</v>
      </c>
      <c r="O11" s="2">
        <v>0</v>
      </c>
      <c r="P11" s="1"/>
      <c r="Q11" s="3">
        <f t="shared" si="0"/>
        <v>0</v>
      </c>
      <c r="R11" s="2">
        <f t="shared" si="1"/>
        <v>0</v>
      </c>
      <c r="S11" s="3">
        <f t="shared" si="2"/>
        <v>0</v>
      </c>
      <c r="T11" s="4">
        <f t="shared" si="3"/>
        <v>0</v>
      </c>
    </row>
    <row r="12" spans="1:27" x14ac:dyDescent="0.25">
      <c r="A12" s="40" t="s">
        <v>445</v>
      </c>
      <c r="B12" s="41">
        <v>1981.98</v>
      </c>
      <c r="C12" s="2">
        <v>0</v>
      </c>
      <c r="D12" s="2">
        <v>0</v>
      </c>
      <c r="E12" s="2">
        <v>0</v>
      </c>
      <c r="F12" s="2">
        <v>0</v>
      </c>
      <c r="G12" s="2">
        <v>0</v>
      </c>
      <c r="H12" s="2">
        <v>0</v>
      </c>
      <c r="I12" s="2">
        <v>0</v>
      </c>
      <c r="J12" s="2">
        <v>0</v>
      </c>
      <c r="K12" s="2">
        <v>0</v>
      </c>
      <c r="L12" s="2">
        <v>0</v>
      </c>
      <c r="M12" s="2">
        <v>0</v>
      </c>
      <c r="N12" s="2">
        <v>0</v>
      </c>
      <c r="O12" s="2">
        <f>629.46+1352.52</f>
        <v>1981.98</v>
      </c>
      <c r="P12" s="1"/>
      <c r="Q12" s="3">
        <f t="shared" si="0"/>
        <v>1981.98</v>
      </c>
      <c r="R12" s="2">
        <f t="shared" si="1"/>
        <v>1981.98</v>
      </c>
      <c r="S12" s="3">
        <f t="shared" si="2"/>
        <v>0</v>
      </c>
      <c r="T12" s="4">
        <f t="shared" si="3"/>
        <v>0</v>
      </c>
    </row>
    <row r="13" spans="1:27" ht="15" x14ac:dyDescent="0.25">
      <c r="A13" s="62" t="s">
        <v>446</v>
      </c>
      <c r="B13" s="65"/>
      <c r="C13" s="65"/>
      <c r="D13" s="66"/>
      <c r="E13" s="66"/>
      <c r="F13" s="66"/>
      <c r="G13" s="66"/>
      <c r="H13" s="66"/>
      <c r="I13" s="66"/>
      <c r="J13" s="66"/>
      <c r="K13" s="66"/>
      <c r="L13" s="66"/>
      <c r="M13" s="66"/>
      <c r="N13" s="66"/>
      <c r="O13" s="66"/>
      <c r="P13" s="1"/>
      <c r="Q13" s="67"/>
      <c r="R13" s="66"/>
      <c r="S13" s="67"/>
      <c r="T13" s="68"/>
    </row>
    <row r="14" spans="1:27" x14ac:dyDescent="0.25">
      <c r="A14" s="40" t="s">
        <v>98</v>
      </c>
      <c r="B14" s="41">
        <v>17417.12</v>
      </c>
      <c r="C14" s="2">
        <v>0</v>
      </c>
      <c r="D14" s="2">
        <v>6386.36</v>
      </c>
      <c r="E14" s="2">
        <v>0</v>
      </c>
      <c r="F14" s="2">
        <v>2670</v>
      </c>
      <c r="G14" s="2">
        <v>0</v>
      </c>
      <c r="H14" s="2">
        <v>0</v>
      </c>
      <c r="I14" s="2">
        <v>0</v>
      </c>
      <c r="J14" s="2">
        <v>0</v>
      </c>
      <c r="K14" s="2">
        <v>0</v>
      </c>
      <c r="L14" s="2">
        <v>0</v>
      </c>
      <c r="M14" s="2">
        <v>0</v>
      </c>
      <c r="N14" s="2">
        <f>4250+4110.76</f>
        <v>8360.76</v>
      </c>
      <c r="O14" s="2">
        <v>0</v>
      </c>
      <c r="P14" s="1"/>
      <c r="Q14" s="3">
        <f>SUM(C14:O14)</f>
        <v>17417.120000000003</v>
      </c>
      <c r="R14" s="2">
        <f>B14</f>
        <v>17417.12</v>
      </c>
      <c r="S14" s="3">
        <f>R14-Q14</f>
        <v>0</v>
      </c>
      <c r="T14" s="4">
        <f>IFERROR(S14/R14,0)</f>
        <v>0</v>
      </c>
    </row>
    <row r="15" spans="1:27" x14ac:dyDescent="0.25">
      <c r="A15" s="40" t="s">
        <v>303</v>
      </c>
      <c r="B15" s="41">
        <v>1500</v>
      </c>
      <c r="C15" s="2">
        <v>0</v>
      </c>
      <c r="D15" s="2">
        <v>0</v>
      </c>
      <c r="E15" s="2">
        <v>0</v>
      </c>
      <c r="F15" s="2">
        <v>0</v>
      </c>
      <c r="G15" s="2">
        <v>0</v>
      </c>
      <c r="H15" s="2">
        <v>0</v>
      </c>
      <c r="I15" s="2">
        <v>0</v>
      </c>
      <c r="J15" s="2">
        <v>0</v>
      </c>
      <c r="K15" s="2">
        <v>0</v>
      </c>
      <c r="L15" s="2">
        <v>0</v>
      </c>
      <c r="M15" s="2">
        <v>0</v>
      </c>
      <c r="N15" s="2">
        <v>1500</v>
      </c>
      <c r="O15" s="2">
        <v>0</v>
      </c>
      <c r="P15" s="1"/>
      <c r="Q15" s="3">
        <f>SUM(C15:O15)</f>
        <v>1500</v>
      </c>
      <c r="R15" s="2">
        <f>B15</f>
        <v>1500</v>
      </c>
      <c r="S15" s="3">
        <f>R15-Q15</f>
        <v>0</v>
      </c>
      <c r="T15" s="4">
        <f>IFERROR(S15/R15,0)</f>
        <v>0</v>
      </c>
      <c r="U15" s="32"/>
      <c r="V15" s="32"/>
      <c r="W15" s="32"/>
      <c r="X15" s="32"/>
      <c r="Y15" s="32"/>
      <c r="Z15" s="32"/>
      <c r="AA15" s="32"/>
    </row>
    <row r="16" spans="1:27" x14ac:dyDescent="0.25">
      <c r="A16" s="40" t="s">
        <v>99</v>
      </c>
      <c r="B16" s="41">
        <v>2850</v>
      </c>
      <c r="C16" s="2">
        <v>0</v>
      </c>
      <c r="D16" s="2">
        <v>0</v>
      </c>
      <c r="E16" s="2">
        <v>0</v>
      </c>
      <c r="F16" s="2">
        <v>0</v>
      </c>
      <c r="G16" s="2">
        <v>0</v>
      </c>
      <c r="H16" s="2">
        <v>0</v>
      </c>
      <c r="I16" s="2">
        <v>0</v>
      </c>
      <c r="J16" s="2">
        <v>0</v>
      </c>
      <c r="K16" s="2">
        <v>0</v>
      </c>
      <c r="L16" s="2">
        <v>0</v>
      </c>
      <c r="M16" s="2">
        <v>0</v>
      </c>
      <c r="N16" s="2">
        <v>0</v>
      </c>
      <c r="O16" s="2">
        <v>0</v>
      </c>
      <c r="P16" s="1"/>
      <c r="Q16" s="3">
        <f>SUM(C16:O16)</f>
        <v>0</v>
      </c>
      <c r="R16" s="2">
        <f>B16</f>
        <v>2850</v>
      </c>
      <c r="S16" s="3">
        <f>R16-Q16</f>
        <v>2850</v>
      </c>
      <c r="T16" s="4">
        <f>IFERROR(S16/R16,0)</f>
        <v>1</v>
      </c>
    </row>
    <row r="17" spans="1:27" s="32" customFormat="1" x14ac:dyDescent="0.25">
      <c r="A17" s="40" t="s">
        <v>302</v>
      </c>
      <c r="B17" s="41">
        <v>3798.2</v>
      </c>
      <c r="C17" s="2">
        <v>0</v>
      </c>
      <c r="D17" s="2">
        <v>0</v>
      </c>
      <c r="E17" s="2">
        <v>0</v>
      </c>
      <c r="F17" s="2">
        <v>0</v>
      </c>
      <c r="G17" s="2">
        <v>0</v>
      </c>
      <c r="H17" s="2">
        <v>0</v>
      </c>
      <c r="I17" s="2">
        <v>0</v>
      </c>
      <c r="J17" s="2">
        <v>0</v>
      </c>
      <c r="K17" s="2">
        <v>0</v>
      </c>
      <c r="L17" s="2">
        <v>0</v>
      </c>
      <c r="M17" s="2">
        <v>0</v>
      </c>
      <c r="N17" s="2">
        <v>3798.2</v>
      </c>
      <c r="O17" s="2">
        <v>0</v>
      </c>
      <c r="P17" s="1"/>
      <c r="Q17" s="3">
        <f>SUM(C17:O17)</f>
        <v>3798.2</v>
      </c>
      <c r="R17" s="2">
        <f>B17</f>
        <v>3798.2</v>
      </c>
      <c r="S17" s="3">
        <f>R17-Q17</f>
        <v>0</v>
      </c>
      <c r="T17" s="4">
        <f>IFERROR(S17/R17,0)</f>
        <v>0</v>
      </c>
      <c r="U17" s="34"/>
      <c r="V17" s="34"/>
      <c r="W17" s="34"/>
      <c r="X17" s="34"/>
      <c r="Y17" s="34"/>
      <c r="Z17" s="34"/>
      <c r="AA17" s="34"/>
    </row>
    <row r="18" spans="1:27" ht="15" x14ac:dyDescent="0.25">
      <c r="A18" s="62" t="s">
        <v>103</v>
      </c>
      <c r="B18" s="65"/>
      <c r="C18" s="65"/>
      <c r="D18" s="66"/>
      <c r="E18" s="66"/>
      <c r="F18" s="66"/>
      <c r="G18" s="66"/>
      <c r="H18" s="66"/>
      <c r="I18" s="66"/>
      <c r="J18" s="66"/>
      <c r="K18" s="66"/>
      <c r="L18" s="66"/>
      <c r="M18" s="66"/>
      <c r="N18" s="66"/>
      <c r="O18" s="66"/>
      <c r="P18" s="1"/>
      <c r="Q18" s="67"/>
      <c r="R18" s="66"/>
      <c r="S18" s="67"/>
      <c r="T18" s="68"/>
    </row>
    <row r="19" spans="1:27" x14ac:dyDescent="0.25">
      <c r="A19" s="40" t="s">
        <v>13</v>
      </c>
      <c r="B19" s="41">
        <v>607.5</v>
      </c>
      <c r="C19" s="2">
        <v>0</v>
      </c>
      <c r="D19" s="2">
        <v>0</v>
      </c>
      <c r="E19" s="2">
        <v>0</v>
      </c>
      <c r="F19" s="2">
        <v>0</v>
      </c>
      <c r="G19" s="2">
        <v>0</v>
      </c>
      <c r="H19" s="2">
        <v>0</v>
      </c>
      <c r="I19" s="2">
        <v>0</v>
      </c>
      <c r="J19" s="2">
        <v>0</v>
      </c>
      <c r="K19" s="2">
        <v>0</v>
      </c>
      <c r="L19" s="2">
        <v>0</v>
      </c>
      <c r="M19" s="2">
        <v>0</v>
      </c>
      <c r="N19" s="2">
        <v>360</v>
      </c>
      <c r="O19" s="2">
        <v>247.5</v>
      </c>
      <c r="P19" s="1"/>
      <c r="Q19" s="3">
        <f>SUM(C19:O19)</f>
        <v>607.5</v>
      </c>
      <c r="R19" s="2">
        <f>B19</f>
        <v>607.5</v>
      </c>
      <c r="S19" s="3">
        <f>R19-Q19</f>
        <v>0</v>
      </c>
      <c r="T19" s="4">
        <f>IFERROR(S19/R19,0)</f>
        <v>0</v>
      </c>
    </row>
    <row r="20" spans="1:27" x14ac:dyDescent="0.25">
      <c r="A20" s="40" t="s">
        <v>105</v>
      </c>
      <c r="B20" s="41">
        <v>1777.55</v>
      </c>
      <c r="C20" s="2">
        <v>0</v>
      </c>
      <c r="D20" s="2">
        <v>0</v>
      </c>
      <c r="E20" s="2">
        <v>0</v>
      </c>
      <c r="F20" s="2">
        <v>0</v>
      </c>
      <c r="G20" s="2">
        <v>0</v>
      </c>
      <c r="H20" s="2">
        <v>0</v>
      </c>
      <c r="I20" s="2">
        <v>0</v>
      </c>
      <c r="J20" s="2">
        <v>0</v>
      </c>
      <c r="K20" s="2">
        <v>0</v>
      </c>
      <c r="L20" s="2">
        <v>0</v>
      </c>
      <c r="M20" s="2">
        <v>0</v>
      </c>
      <c r="N20" s="2">
        <v>1758.51</v>
      </c>
      <c r="O20" s="2">
        <v>19.04</v>
      </c>
      <c r="P20" s="1"/>
      <c r="Q20" s="3">
        <f>SUM(C20:O20)</f>
        <v>1777.55</v>
      </c>
      <c r="R20" s="2">
        <f>B20</f>
        <v>1777.55</v>
      </c>
      <c r="S20" s="3">
        <f>R20-Q20</f>
        <v>0</v>
      </c>
      <c r="T20" s="4">
        <f>IFERROR(S20/R20,0)</f>
        <v>0</v>
      </c>
    </row>
    <row r="21" spans="1:27" x14ac:dyDescent="0.25">
      <c r="A21" s="40" t="s">
        <v>447</v>
      </c>
      <c r="B21" s="41">
        <v>600</v>
      </c>
      <c r="C21" s="2">
        <v>0</v>
      </c>
      <c r="D21" s="2">
        <v>0</v>
      </c>
      <c r="E21" s="2">
        <v>0</v>
      </c>
      <c r="F21" s="2">
        <v>0</v>
      </c>
      <c r="G21" s="2">
        <v>0</v>
      </c>
      <c r="H21" s="2">
        <v>0</v>
      </c>
      <c r="I21" s="2">
        <v>0</v>
      </c>
      <c r="J21" s="2">
        <v>0</v>
      </c>
      <c r="K21" s="2">
        <v>0</v>
      </c>
      <c r="L21" s="2">
        <v>0</v>
      </c>
      <c r="M21" s="2">
        <v>0</v>
      </c>
      <c r="N21" s="2">
        <v>0</v>
      </c>
      <c r="O21" s="2">
        <f>15*40</f>
        <v>600</v>
      </c>
      <c r="P21" s="1"/>
      <c r="Q21" s="3">
        <f>SUM(C21:O21)</f>
        <v>600</v>
      </c>
      <c r="R21" s="2">
        <f>B21</f>
        <v>600</v>
      </c>
      <c r="S21" s="3">
        <f>R21-Q21</f>
        <v>0</v>
      </c>
      <c r="T21" s="4">
        <f>IFERROR(S21/R21,0)</f>
        <v>0</v>
      </c>
    </row>
    <row r="22" spans="1:27" x14ac:dyDescent="0.25">
      <c r="A22" s="40" t="s">
        <v>104</v>
      </c>
      <c r="B22" s="41">
        <v>25000</v>
      </c>
      <c r="C22" s="2">
        <v>0</v>
      </c>
      <c r="D22" s="2">
        <v>0</v>
      </c>
      <c r="E22" s="2">
        <v>0</v>
      </c>
      <c r="F22" s="2">
        <v>0</v>
      </c>
      <c r="G22" s="2">
        <v>0</v>
      </c>
      <c r="H22" s="2">
        <v>0</v>
      </c>
      <c r="I22" s="2">
        <v>0</v>
      </c>
      <c r="J22" s="2">
        <v>0</v>
      </c>
      <c r="K22" s="2">
        <v>0</v>
      </c>
      <c r="L22" s="2">
        <v>0</v>
      </c>
      <c r="M22" s="2">
        <v>0</v>
      </c>
      <c r="N22" s="2">
        <v>25000</v>
      </c>
      <c r="O22" s="2">
        <v>0</v>
      </c>
      <c r="P22" s="1"/>
      <c r="Q22" s="3">
        <f>SUM(C22:O22)</f>
        <v>25000</v>
      </c>
      <c r="R22" s="2">
        <f>B22</f>
        <v>25000</v>
      </c>
      <c r="S22" s="3">
        <f>R22-Q22</f>
        <v>0</v>
      </c>
      <c r="T22" s="4">
        <f>IFERROR(S22/R22,0)</f>
        <v>0</v>
      </c>
    </row>
    <row r="23" spans="1:27" ht="15" x14ac:dyDescent="0.25">
      <c r="A23" s="62" t="s">
        <v>107</v>
      </c>
      <c r="B23" s="65"/>
      <c r="C23" s="65"/>
      <c r="D23" s="66"/>
      <c r="E23" s="66"/>
      <c r="F23" s="66"/>
      <c r="G23" s="66"/>
      <c r="H23" s="66"/>
      <c r="I23" s="66"/>
      <c r="J23" s="66"/>
      <c r="K23" s="66"/>
      <c r="L23" s="66"/>
      <c r="M23" s="66"/>
      <c r="N23" s="66"/>
      <c r="O23" s="66"/>
      <c r="P23" s="1"/>
      <c r="Q23" s="67"/>
      <c r="R23" s="66"/>
      <c r="S23" s="67"/>
      <c r="T23" s="68"/>
    </row>
    <row r="24" spans="1:27" x14ac:dyDescent="0.25">
      <c r="A24" s="40" t="s">
        <v>22</v>
      </c>
      <c r="B24" s="41">
        <v>9300</v>
      </c>
      <c r="C24" s="2">
        <v>0</v>
      </c>
      <c r="D24" s="2">
        <v>0</v>
      </c>
      <c r="E24" s="2">
        <v>0</v>
      </c>
      <c r="F24" s="2">
        <v>0</v>
      </c>
      <c r="G24" s="2">
        <v>0</v>
      </c>
      <c r="H24" s="2">
        <v>0</v>
      </c>
      <c r="I24" s="2">
        <v>0</v>
      </c>
      <c r="J24" s="2">
        <v>0</v>
      </c>
      <c r="K24" s="2">
        <v>0</v>
      </c>
      <c r="L24" s="2">
        <v>0</v>
      </c>
      <c r="M24" s="2">
        <v>0</v>
      </c>
      <c r="N24" s="2">
        <v>4903.25</v>
      </c>
      <c r="O24" s="2">
        <v>4396.75</v>
      </c>
      <c r="P24" s="1"/>
      <c r="Q24" s="3">
        <f>SUM(C24:O24)</f>
        <v>9300</v>
      </c>
      <c r="R24" s="2">
        <f>B24</f>
        <v>9300</v>
      </c>
      <c r="S24" s="3">
        <f>R24-Q24</f>
        <v>0</v>
      </c>
      <c r="T24" s="4">
        <f>IFERROR(S24/R24,0)</f>
        <v>0</v>
      </c>
      <c r="U24" s="95"/>
      <c r="V24" s="95"/>
    </row>
    <row r="25" spans="1:27" x14ac:dyDescent="0.25">
      <c r="A25" s="40" t="s">
        <v>448</v>
      </c>
      <c r="B25" s="41">
        <v>0</v>
      </c>
      <c r="C25" s="2">
        <v>0</v>
      </c>
      <c r="D25" s="2">
        <v>0</v>
      </c>
      <c r="E25" s="2">
        <v>0</v>
      </c>
      <c r="F25" s="2">
        <v>0</v>
      </c>
      <c r="G25" s="2">
        <v>0</v>
      </c>
      <c r="H25" s="2">
        <v>0</v>
      </c>
      <c r="I25" s="2">
        <v>0</v>
      </c>
      <c r="J25" s="2">
        <v>0</v>
      </c>
      <c r="K25" s="2">
        <v>0</v>
      </c>
      <c r="L25" s="2">
        <v>0</v>
      </c>
      <c r="M25" s="2">
        <v>0</v>
      </c>
      <c r="N25" s="2">
        <v>0</v>
      </c>
      <c r="O25" s="2">
        <v>0</v>
      </c>
      <c r="P25" s="1"/>
      <c r="Q25" s="3">
        <f>SUM(C25:O25)</f>
        <v>0</v>
      </c>
      <c r="R25" s="2">
        <f>B25</f>
        <v>0</v>
      </c>
      <c r="S25" s="3">
        <f t="shared" ref="S25:S28" si="6">R25-Q25</f>
        <v>0</v>
      </c>
      <c r="T25" s="4">
        <f t="shared" ref="T25:T28" si="7">IFERROR(S25/R25,0)</f>
        <v>0</v>
      </c>
      <c r="U25" s="95"/>
      <c r="V25" s="95"/>
    </row>
    <row r="26" spans="1:27" x14ac:dyDescent="0.25">
      <c r="A26" s="40" t="s">
        <v>363</v>
      </c>
      <c r="B26" s="41">
        <v>300</v>
      </c>
      <c r="C26" s="2">
        <v>0</v>
      </c>
      <c r="D26" s="2">
        <v>0</v>
      </c>
      <c r="E26" s="2">
        <v>0</v>
      </c>
      <c r="F26" s="2">
        <v>0</v>
      </c>
      <c r="G26" s="2">
        <v>0</v>
      </c>
      <c r="H26" s="2">
        <v>0</v>
      </c>
      <c r="I26" s="2">
        <v>0</v>
      </c>
      <c r="J26" s="2">
        <v>0</v>
      </c>
      <c r="K26" s="2">
        <v>0</v>
      </c>
      <c r="L26" s="2">
        <v>0</v>
      </c>
      <c r="M26" s="2">
        <v>0</v>
      </c>
      <c r="N26" s="2">
        <v>0</v>
      </c>
      <c r="O26" s="2">
        <v>0</v>
      </c>
      <c r="P26" s="1"/>
      <c r="Q26" s="3">
        <f>SUM(C26:O26)</f>
        <v>0</v>
      </c>
      <c r="R26" s="2">
        <f>B26</f>
        <v>300</v>
      </c>
      <c r="S26" s="3">
        <f t="shared" si="6"/>
        <v>300</v>
      </c>
      <c r="T26" s="4">
        <f t="shared" si="7"/>
        <v>1</v>
      </c>
      <c r="U26" s="95"/>
      <c r="V26" s="95"/>
    </row>
    <row r="27" spans="1:27" x14ac:dyDescent="0.25">
      <c r="A27" s="40" t="s">
        <v>366</v>
      </c>
      <c r="B27" s="41">
        <v>0</v>
      </c>
      <c r="C27" s="2">
        <v>0</v>
      </c>
      <c r="D27" s="2">
        <v>0</v>
      </c>
      <c r="E27" s="2">
        <v>0</v>
      </c>
      <c r="F27" s="2">
        <v>0</v>
      </c>
      <c r="G27" s="2">
        <v>0</v>
      </c>
      <c r="H27" s="2">
        <v>0</v>
      </c>
      <c r="I27" s="2">
        <v>0</v>
      </c>
      <c r="J27" s="2">
        <v>0</v>
      </c>
      <c r="K27" s="2">
        <v>0</v>
      </c>
      <c r="L27" s="2">
        <v>0</v>
      </c>
      <c r="M27" s="2">
        <v>0</v>
      </c>
      <c r="N27" s="2">
        <v>0</v>
      </c>
      <c r="O27" s="2">
        <v>0</v>
      </c>
      <c r="P27" s="1"/>
      <c r="Q27" s="3">
        <f>SUM(C27:O27)</f>
        <v>0</v>
      </c>
      <c r="R27" s="2">
        <f>B27</f>
        <v>0</v>
      </c>
      <c r="S27" s="3">
        <f t="shared" si="6"/>
        <v>0</v>
      </c>
      <c r="T27" s="4">
        <f t="shared" si="7"/>
        <v>0</v>
      </c>
      <c r="U27" s="95"/>
      <c r="V27" s="95"/>
    </row>
    <row r="28" spans="1:27" x14ac:dyDescent="0.25">
      <c r="A28" s="40" t="s">
        <v>362</v>
      </c>
      <c r="B28" s="41">
        <v>750</v>
      </c>
      <c r="C28" s="2">
        <v>0</v>
      </c>
      <c r="D28" s="2">
        <v>0</v>
      </c>
      <c r="E28" s="2">
        <v>0</v>
      </c>
      <c r="F28" s="2">
        <v>0</v>
      </c>
      <c r="G28" s="2">
        <v>0</v>
      </c>
      <c r="H28" s="2">
        <v>0</v>
      </c>
      <c r="I28" s="2">
        <v>0</v>
      </c>
      <c r="J28" s="2">
        <v>0</v>
      </c>
      <c r="K28" s="2">
        <v>0</v>
      </c>
      <c r="L28" s="2">
        <v>0</v>
      </c>
      <c r="M28" s="2">
        <v>0</v>
      </c>
      <c r="N28" s="2">
        <v>0</v>
      </c>
      <c r="O28" s="2">
        <v>750</v>
      </c>
      <c r="P28" s="1"/>
      <c r="Q28" s="3">
        <f>SUM(C28:O28)</f>
        <v>750</v>
      </c>
      <c r="R28" s="2">
        <f>B28</f>
        <v>750</v>
      </c>
      <c r="S28" s="3">
        <f t="shared" si="6"/>
        <v>0</v>
      </c>
      <c r="T28" s="4">
        <f t="shared" si="7"/>
        <v>0</v>
      </c>
      <c r="U28" s="95"/>
      <c r="V28" s="95"/>
    </row>
    <row r="29" spans="1:27" ht="15" x14ac:dyDescent="0.25">
      <c r="A29" s="62" t="s">
        <v>108</v>
      </c>
      <c r="B29" s="65"/>
      <c r="C29" s="65"/>
      <c r="D29" s="66"/>
      <c r="E29" s="66"/>
      <c r="F29" s="66"/>
      <c r="G29" s="66"/>
      <c r="H29" s="66"/>
      <c r="I29" s="66"/>
      <c r="J29" s="66"/>
      <c r="K29" s="66"/>
      <c r="L29" s="66"/>
      <c r="M29" s="66"/>
      <c r="N29" s="66"/>
      <c r="O29" s="66"/>
      <c r="P29" s="1"/>
      <c r="Q29" s="67"/>
      <c r="R29" s="66"/>
      <c r="S29" s="67"/>
      <c r="T29" s="68"/>
    </row>
    <row r="30" spans="1:27" x14ac:dyDescent="0.25">
      <c r="A30" s="40" t="s">
        <v>109</v>
      </c>
      <c r="B30" s="41">
        <v>185000</v>
      </c>
      <c r="C30" s="2">
        <v>0</v>
      </c>
      <c r="D30" s="2">
        <v>0</v>
      </c>
      <c r="E30" s="2">
        <v>0</v>
      </c>
      <c r="F30" s="2">
        <v>0</v>
      </c>
      <c r="G30" s="2">
        <v>0</v>
      </c>
      <c r="H30" s="2">
        <v>0</v>
      </c>
      <c r="I30" s="2">
        <v>0</v>
      </c>
      <c r="J30" s="2">
        <v>0</v>
      </c>
      <c r="K30" s="2">
        <v>0</v>
      </c>
      <c r="L30" s="2">
        <v>0</v>
      </c>
      <c r="M30" s="2">
        <v>0</v>
      </c>
      <c r="N30" s="2">
        <f>1549.66+3798.19+2848.64+5469.39+4027.35+3418.37+4669.23+7925.55+42068.73+68673.76+2481.48+38842.8+5398.49</f>
        <v>191171.64</v>
      </c>
      <c r="O30" s="2">
        <v>14813.69</v>
      </c>
      <c r="P30" s="1"/>
      <c r="Q30" s="3">
        <f>SUM(C30:O30)</f>
        <v>205985.33000000002</v>
      </c>
      <c r="R30" s="2">
        <f>B30</f>
        <v>185000</v>
      </c>
      <c r="S30" s="3">
        <f>R30-Q30</f>
        <v>-20985.330000000016</v>
      </c>
      <c r="T30" s="4">
        <f>IFERROR(S30/R30,0)</f>
        <v>-0.1134342162162163</v>
      </c>
      <c r="V30" s="105"/>
      <c r="W30" s="105"/>
      <c r="X30" s="105"/>
      <c r="Y30" s="105"/>
      <c r="Z30" s="105"/>
      <c r="AA30" s="105"/>
    </row>
    <row r="31" spans="1:27" x14ac:dyDescent="0.25">
      <c r="A31" s="40" t="s">
        <v>387</v>
      </c>
      <c r="B31" s="41">
        <v>1624.87</v>
      </c>
      <c r="C31" s="2">
        <v>0</v>
      </c>
      <c r="D31" s="2">
        <v>0</v>
      </c>
      <c r="E31" s="2">
        <v>0</v>
      </c>
      <c r="F31" s="2">
        <v>0</v>
      </c>
      <c r="G31" s="2">
        <v>0</v>
      </c>
      <c r="H31" s="2">
        <v>0</v>
      </c>
      <c r="I31" s="2">
        <v>0</v>
      </c>
      <c r="J31" s="2">
        <v>0</v>
      </c>
      <c r="K31" s="2">
        <v>0</v>
      </c>
      <c r="L31" s="2">
        <v>1624.87</v>
      </c>
      <c r="M31" s="2">
        <v>0</v>
      </c>
      <c r="N31" s="2">
        <v>0</v>
      </c>
      <c r="O31" s="2">
        <v>0</v>
      </c>
      <c r="P31" s="1"/>
      <c r="Q31" s="3">
        <f>SUM(C31:O31)</f>
        <v>1624.87</v>
      </c>
      <c r="R31" s="2">
        <f>B31</f>
        <v>1624.87</v>
      </c>
      <c r="S31" s="3">
        <f>R31-Q31</f>
        <v>0</v>
      </c>
      <c r="T31" s="4">
        <f>IFERROR(S31/R31,0)</f>
        <v>0</v>
      </c>
      <c r="V31" s="105"/>
      <c r="W31" s="105"/>
      <c r="X31" s="105"/>
      <c r="Y31" s="105"/>
      <c r="Z31" s="105"/>
      <c r="AA31" s="105"/>
    </row>
    <row r="32" spans="1:27" x14ac:dyDescent="0.25">
      <c r="A32" s="40" t="s">
        <v>110</v>
      </c>
      <c r="B32" s="41">
        <v>1178.32</v>
      </c>
      <c r="C32" s="2">
        <v>0</v>
      </c>
      <c r="D32" s="2">
        <v>0</v>
      </c>
      <c r="E32" s="2">
        <v>0</v>
      </c>
      <c r="F32" s="2">
        <v>0</v>
      </c>
      <c r="G32" s="2">
        <v>0</v>
      </c>
      <c r="H32" s="2">
        <v>0</v>
      </c>
      <c r="I32" s="2">
        <v>0</v>
      </c>
      <c r="J32" s="2">
        <v>57.4</v>
      </c>
      <c r="K32" s="2">
        <v>0</v>
      </c>
      <c r="L32" s="2">
        <v>0</v>
      </c>
      <c r="M32" s="2">
        <f>418.33+56.49+42.69+68.74+17.63+115.38+67.2</f>
        <v>786.46</v>
      </c>
      <c r="N32" s="2">
        <f>76.86+11.9+245.7</f>
        <v>334.46</v>
      </c>
      <c r="O32" s="2">
        <v>0</v>
      </c>
      <c r="P32" s="1"/>
      <c r="Q32" s="3">
        <f>SUM(C32:O32)</f>
        <v>1178.32</v>
      </c>
      <c r="R32" s="2">
        <f>B32</f>
        <v>1178.32</v>
      </c>
      <c r="S32" s="3">
        <f>R32-Q32</f>
        <v>0</v>
      </c>
      <c r="T32" s="4">
        <f>IFERROR(S32/R32,0)</f>
        <v>0</v>
      </c>
      <c r="V32" s="105"/>
      <c r="W32" s="105"/>
      <c r="X32" s="105"/>
      <c r="Y32" s="105"/>
      <c r="Z32" s="105"/>
      <c r="AA32" s="105"/>
    </row>
    <row r="33" spans="1:21" ht="15" x14ac:dyDescent="0.25">
      <c r="A33" s="62" t="s">
        <v>112</v>
      </c>
      <c r="B33" s="65"/>
      <c r="C33" s="65"/>
      <c r="D33" s="66"/>
      <c r="E33" s="66"/>
      <c r="F33" s="66"/>
      <c r="G33" s="66"/>
      <c r="H33" s="66"/>
      <c r="I33" s="66"/>
      <c r="J33" s="66"/>
      <c r="K33" s="66"/>
      <c r="L33" s="66"/>
      <c r="M33" s="66"/>
      <c r="N33" s="66"/>
      <c r="O33" s="66"/>
      <c r="P33" s="1"/>
      <c r="Q33" s="67"/>
      <c r="R33" s="66"/>
      <c r="S33" s="67"/>
      <c r="T33" s="68"/>
    </row>
    <row r="34" spans="1:21" x14ac:dyDescent="0.25">
      <c r="A34" s="40" t="s">
        <v>114</v>
      </c>
      <c r="B34" s="41">
        <v>6595.19</v>
      </c>
      <c r="C34" s="2">
        <v>0</v>
      </c>
      <c r="D34" s="2">
        <v>0</v>
      </c>
      <c r="E34" s="2">
        <v>0</v>
      </c>
      <c r="F34" s="2">
        <v>0</v>
      </c>
      <c r="G34" s="2">
        <v>0</v>
      </c>
      <c r="H34" s="2">
        <v>0</v>
      </c>
      <c r="I34" s="2">
        <v>0</v>
      </c>
      <c r="J34" s="2">
        <v>5595.19</v>
      </c>
      <c r="K34" s="2">
        <v>0</v>
      </c>
      <c r="L34" s="2">
        <v>0</v>
      </c>
      <c r="M34" s="2">
        <v>0</v>
      </c>
      <c r="N34" s="2">
        <v>1000</v>
      </c>
      <c r="O34" s="2">
        <v>0</v>
      </c>
      <c r="P34" s="1"/>
      <c r="Q34" s="3">
        <f t="shared" ref="Q34:Q39" si="8">SUM(C34:O34)</f>
        <v>6595.19</v>
      </c>
      <c r="R34" s="2">
        <f t="shared" ref="R34:R39" si="9">B34</f>
        <v>6595.19</v>
      </c>
      <c r="S34" s="3">
        <f t="shared" ref="S34:S39" si="10">R34-Q34</f>
        <v>0</v>
      </c>
      <c r="T34" s="4">
        <f t="shared" ref="T34:T39" si="11">IFERROR(S34/R34,0)</f>
        <v>0</v>
      </c>
    </row>
    <row r="35" spans="1:21" x14ac:dyDescent="0.25">
      <c r="A35" s="40" t="s">
        <v>113</v>
      </c>
      <c r="B35" s="41">
        <v>29627.66</v>
      </c>
      <c r="C35" s="2">
        <v>0</v>
      </c>
      <c r="D35" s="2">
        <v>0</v>
      </c>
      <c r="E35" s="2">
        <v>0</v>
      </c>
      <c r="F35" s="2">
        <v>0</v>
      </c>
      <c r="G35" s="2">
        <v>0</v>
      </c>
      <c r="H35" s="2">
        <v>0</v>
      </c>
      <c r="I35" s="2">
        <v>0</v>
      </c>
      <c r="J35" s="2">
        <v>0</v>
      </c>
      <c r="K35" s="2">
        <v>0</v>
      </c>
      <c r="L35" s="2">
        <v>0</v>
      </c>
      <c r="M35" s="2">
        <v>0</v>
      </c>
      <c r="N35" s="2">
        <v>27858.75</v>
      </c>
      <c r="O35" s="2">
        <v>1768.91</v>
      </c>
      <c r="P35" s="1"/>
      <c r="Q35" s="3">
        <f t="shared" si="8"/>
        <v>29627.66</v>
      </c>
      <c r="R35" s="2">
        <f t="shared" si="9"/>
        <v>29627.66</v>
      </c>
      <c r="S35" s="3">
        <f t="shared" si="10"/>
        <v>0</v>
      </c>
      <c r="T35" s="4">
        <f t="shared" si="11"/>
        <v>0</v>
      </c>
    </row>
    <row r="36" spans="1:21" x14ac:dyDescent="0.25">
      <c r="A36" s="40" t="s">
        <v>18</v>
      </c>
      <c r="B36" s="41">
        <v>1623.27</v>
      </c>
      <c r="C36" s="2">
        <v>0</v>
      </c>
      <c r="D36" s="2">
        <v>0</v>
      </c>
      <c r="E36" s="2">
        <v>0</v>
      </c>
      <c r="F36" s="2">
        <v>0</v>
      </c>
      <c r="G36" s="2">
        <v>0</v>
      </c>
      <c r="H36" s="2">
        <v>0</v>
      </c>
      <c r="I36" s="2">
        <v>0</v>
      </c>
      <c r="J36" s="2">
        <v>0</v>
      </c>
      <c r="K36" s="2">
        <v>316.29000000000002</v>
      </c>
      <c r="L36" s="2">
        <v>957.77</v>
      </c>
      <c r="M36" s="2">
        <v>0</v>
      </c>
      <c r="N36" s="2">
        <v>0</v>
      </c>
      <c r="O36" s="2">
        <v>349.21</v>
      </c>
      <c r="P36" s="1"/>
      <c r="Q36" s="3">
        <f t="shared" si="8"/>
        <v>1623.27</v>
      </c>
      <c r="R36" s="2">
        <f t="shared" si="9"/>
        <v>1623.27</v>
      </c>
      <c r="S36" s="3">
        <f t="shared" si="10"/>
        <v>0</v>
      </c>
      <c r="T36" s="4">
        <f t="shared" si="11"/>
        <v>0</v>
      </c>
    </row>
    <row r="37" spans="1:21" x14ac:dyDescent="0.25">
      <c r="A37" s="40" t="s">
        <v>116</v>
      </c>
      <c r="B37" s="41">
        <v>730</v>
      </c>
      <c r="C37" s="2">
        <v>0</v>
      </c>
      <c r="D37" s="2">
        <v>0</v>
      </c>
      <c r="E37" s="2">
        <v>0</v>
      </c>
      <c r="F37" s="2">
        <v>0</v>
      </c>
      <c r="G37" s="2">
        <v>0</v>
      </c>
      <c r="H37" s="2">
        <v>0</v>
      </c>
      <c r="I37" s="2">
        <v>0</v>
      </c>
      <c r="J37" s="2">
        <v>0</v>
      </c>
      <c r="K37" s="2">
        <v>0</v>
      </c>
      <c r="L37" s="2">
        <v>0</v>
      </c>
      <c r="M37" s="2">
        <v>0</v>
      </c>
      <c r="N37" s="2">
        <v>0</v>
      </c>
      <c r="O37" s="2">
        <f>280+450</f>
        <v>730</v>
      </c>
      <c r="P37" s="1"/>
      <c r="Q37" s="3">
        <f t="shared" si="8"/>
        <v>730</v>
      </c>
      <c r="R37" s="2">
        <f t="shared" si="9"/>
        <v>730</v>
      </c>
      <c r="S37" s="3">
        <f t="shared" si="10"/>
        <v>0</v>
      </c>
      <c r="T37" s="4">
        <f t="shared" si="11"/>
        <v>0</v>
      </c>
    </row>
    <row r="38" spans="1:21" x14ac:dyDescent="0.25">
      <c r="A38" s="40" t="s">
        <v>377</v>
      </c>
      <c r="B38" s="41">
        <v>1825</v>
      </c>
      <c r="C38" s="2">
        <v>0</v>
      </c>
      <c r="D38" s="2">
        <v>0</v>
      </c>
      <c r="E38" s="2">
        <v>0</v>
      </c>
      <c r="F38" s="2">
        <v>0</v>
      </c>
      <c r="G38" s="2">
        <v>0</v>
      </c>
      <c r="H38" s="2">
        <v>0</v>
      </c>
      <c r="I38" s="2">
        <v>0</v>
      </c>
      <c r="J38" s="2">
        <v>0</v>
      </c>
      <c r="K38" s="2">
        <v>0</v>
      </c>
      <c r="L38" s="2">
        <v>0</v>
      </c>
      <c r="M38" s="2">
        <v>0</v>
      </c>
      <c r="N38" s="2">
        <v>0</v>
      </c>
      <c r="O38" s="2">
        <v>1825</v>
      </c>
      <c r="P38" s="1"/>
      <c r="Q38" s="3">
        <f t="shared" si="8"/>
        <v>1825</v>
      </c>
      <c r="R38" s="2">
        <f t="shared" si="9"/>
        <v>1825</v>
      </c>
      <c r="S38" s="3">
        <f t="shared" si="10"/>
        <v>0</v>
      </c>
      <c r="T38" s="4">
        <f t="shared" si="11"/>
        <v>0</v>
      </c>
    </row>
    <row r="39" spans="1:21" x14ac:dyDescent="0.25">
      <c r="A39" s="40" t="s">
        <v>115</v>
      </c>
      <c r="B39" s="41">
        <v>245.27</v>
      </c>
      <c r="C39" s="2">
        <v>0</v>
      </c>
      <c r="D39" s="2">
        <v>0</v>
      </c>
      <c r="E39" s="2">
        <v>0</v>
      </c>
      <c r="F39" s="2">
        <v>0</v>
      </c>
      <c r="G39" s="2">
        <v>0</v>
      </c>
      <c r="H39" s="2">
        <v>0</v>
      </c>
      <c r="I39" s="2">
        <v>0</v>
      </c>
      <c r="J39" s="2">
        <v>0</v>
      </c>
      <c r="K39" s="2">
        <v>0</v>
      </c>
      <c r="L39" s="2">
        <v>0</v>
      </c>
      <c r="M39" s="2">
        <v>0</v>
      </c>
      <c r="N39" s="2">
        <v>0</v>
      </c>
      <c r="O39" s="2">
        <v>245.27</v>
      </c>
      <c r="P39" s="1"/>
      <c r="Q39" s="3">
        <f t="shared" si="8"/>
        <v>245.27</v>
      </c>
      <c r="R39" s="2">
        <f t="shared" si="9"/>
        <v>245.27</v>
      </c>
      <c r="S39" s="3">
        <f t="shared" si="10"/>
        <v>0</v>
      </c>
      <c r="T39" s="4">
        <f t="shared" si="11"/>
        <v>0</v>
      </c>
    </row>
    <row r="40" spans="1:21" s="32" customFormat="1" ht="15" x14ac:dyDescent="0.25">
      <c r="A40" s="62" t="s">
        <v>119</v>
      </c>
      <c r="B40" s="65"/>
      <c r="C40" s="65"/>
      <c r="D40" s="66"/>
      <c r="E40" s="66"/>
      <c r="F40" s="66"/>
      <c r="G40" s="66"/>
      <c r="H40" s="66"/>
      <c r="I40" s="66"/>
      <c r="J40" s="66"/>
      <c r="K40" s="66"/>
      <c r="L40" s="66"/>
      <c r="M40" s="66"/>
      <c r="N40" s="66"/>
      <c r="O40" s="66"/>
      <c r="P40" s="1"/>
      <c r="Q40" s="67"/>
      <c r="R40" s="66"/>
      <c r="S40" s="67"/>
      <c r="T40" s="68"/>
    </row>
    <row r="41" spans="1:21" x14ac:dyDescent="0.25">
      <c r="A41" s="40" t="s">
        <v>39</v>
      </c>
      <c r="B41" s="41">
        <v>640</v>
      </c>
      <c r="C41" s="2">
        <v>0</v>
      </c>
      <c r="D41" s="2">
        <v>0</v>
      </c>
      <c r="E41" s="2">
        <v>0</v>
      </c>
      <c r="F41" s="2">
        <v>0</v>
      </c>
      <c r="G41" s="2">
        <v>0</v>
      </c>
      <c r="H41" s="2">
        <v>0</v>
      </c>
      <c r="I41" s="2">
        <v>0</v>
      </c>
      <c r="J41" s="2">
        <v>0</v>
      </c>
      <c r="K41" s="2">
        <v>0</v>
      </c>
      <c r="L41" s="2">
        <v>0</v>
      </c>
      <c r="M41" s="2">
        <v>0</v>
      </c>
      <c r="N41" s="2">
        <v>0</v>
      </c>
      <c r="O41" s="2">
        <v>640</v>
      </c>
      <c r="P41" s="1"/>
      <c r="Q41" s="3">
        <f t="shared" ref="Q41:Q47" si="12">SUM(C41:O41)</f>
        <v>640</v>
      </c>
      <c r="R41" s="2">
        <f t="shared" ref="R41:R47" si="13">B41</f>
        <v>640</v>
      </c>
      <c r="S41" s="3">
        <f t="shared" ref="S41:S47" si="14">R41-Q41</f>
        <v>0</v>
      </c>
      <c r="T41" s="4">
        <f t="shared" ref="T41:T47" si="15">IFERROR(S41/R41,0)</f>
        <v>0</v>
      </c>
    </row>
    <row r="42" spans="1:21" s="32" customFormat="1" x14ac:dyDescent="0.25">
      <c r="A42" s="40" t="s">
        <v>137</v>
      </c>
      <c r="B42" s="41">
        <v>54537.5</v>
      </c>
      <c r="C42" s="2">
        <v>0</v>
      </c>
      <c r="D42" s="2">
        <v>0</v>
      </c>
      <c r="E42" s="2">
        <v>0</v>
      </c>
      <c r="F42" s="2">
        <v>0</v>
      </c>
      <c r="G42" s="2">
        <v>0</v>
      </c>
      <c r="H42" s="2">
        <v>0</v>
      </c>
      <c r="I42" s="2">
        <v>0</v>
      </c>
      <c r="J42" s="2">
        <v>0</v>
      </c>
      <c r="K42" s="2">
        <v>0</v>
      </c>
      <c r="L42" s="2">
        <v>0</v>
      </c>
      <c r="M42" s="2">
        <v>0</v>
      </c>
      <c r="N42" s="2">
        <v>53412.5</v>
      </c>
      <c r="O42" s="2">
        <v>1125</v>
      </c>
      <c r="P42" s="1"/>
      <c r="Q42" s="3">
        <f t="shared" si="12"/>
        <v>54537.5</v>
      </c>
      <c r="R42" s="2">
        <f t="shared" si="13"/>
        <v>54537.5</v>
      </c>
      <c r="S42" s="3">
        <f t="shared" si="14"/>
        <v>0</v>
      </c>
      <c r="T42" s="4">
        <f t="shared" si="15"/>
        <v>0</v>
      </c>
    </row>
    <row r="43" spans="1:21" s="32" customFormat="1" x14ac:dyDescent="0.25">
      <c r="A43" s="40" t="s">
        <v>138</v>
      </c>
      <c r="B43" s="41">
        <v>125097.93</v>
      </c>
      <c r="C43" s="2">
        <v>0</v>
      </c>
      <c r="D43" s="2">
        <v>0</v>
      </c>
      <c r="E43" s="2">
        <v>0</v>
      </c>
      <c r="F43" s="2">
        <v>0</v>
      </c>
      <c r="G43" s="2">
        <v>0</v>
      </c>
      <c r="H43" s="2">
        <v>0</v>
      </c>
      <c r="I43" s="2">
        <v>0</v>
      </c>
      <c r="J43" s="2">
        <v>0</v>
      </c>
      <c r="K43" s="2">
        <v>0</v>
      </c>
      <c r="L43" s="2">
        <v>0</v>
      </c>
      <c r="M43" s="2">
        <v>0</v>
      </c>
      <c r="N43" s="2">
        <f>119638.88</f>
        <v>119638.88</v>
      </c>
      <c r="O43" s="2">
        <v>5459.05</v>
      </c>
      <c r="P43" s="1"/>
      <c r="Q43" s="3">
        <f t="shared" si="12"/>
        <v>125097.93000000001</v>
      </c>
      <c r="R43" s="2">
        <f t="shared" si="13"/>
        <v>125097.93</v>
      </c>
      <c r="S43" s="3">
        <f t="shared" si="14"/>
        <v>0</v>
      </c>
      <c r="T43" s="4">
        <f t="shared" si="15"/>
        <v>0</v>
      </c>
    </row>
    <row r="44" spans="1:21" x14ac:dyDescent="0.25">
      <c r="A44" s="40" t="s">
        <v>449</v>
      </c>
      <c r="B44" s="41">
        <v>3901.6</v>
      </c>
      <c r="C44" s="2">
        <v>0</v>
      </c>
      <c r="D44" s="2">
        <v>0</v>
      </c>
      <c r="E44" s="2">
        <v>0</v>
      </c>
      <c r="F44" s="2">
        <v>0</v>
      </c>
      <c r="G44" s="2">
        <v>0</v>
      </c>
      <c r="H44" s="2">
        <v>0</v>
      </c>
      <c r="I44" s="2">
        <v>0</v>
      </c>
      <c r="J44" s="2">
        <v>0</v>
      </c>
      <c r="K44" s="2">
        <v>0</v>
      </c>
      <c r="L44" s="2">
        <v>0</v>
      </c>
      <c r="M44" s="2">
        <v>0</v>
      </c>
      <c r="N44" s="2">
        <v>0</v>
      </c>
      <c r="O44" s="2">
        <f>3983.85-80.55-1.7</f>
        <v>3901.6</v>
      </c>
      <c r="P44" s="1"/>
      <c r="Q44" s="3">
        <f t="shared" si="12"/>
        <v>3901.6</v>
      </c>
      <c r="R44" s="2">
        <f t="shared" si="13"/>
        <v>3901.6</v>
      </c>
      <c r="S44" s="3">
        <f t="shared" si="14"/>
        <v>0</v>
      </c>
      <c r="T44" s="4">
        <f t="shared" si="15"/>
        <v>0</v>
      </c>
    </row>
    <row r="45" spans="1:21" x14ac:dyDescent="0.25">
      <c r="A45" s="40" t="s">
        <v>450</v>
      </c>
      <c r="B45" s="41">
        <v>28550.34</v>
      </c>
      <c r="C45" s="2">
        <v>0</v>
      </c>
      <c r="D45" s="2">
        <v>0</v>
      </c>
      <c r="E45" s="2">
        <v>0</v>
      </c>
      <c r="F45" s="2">
        <v>0</v>
      </c>
      <c r="G45" s="2">
        <v>0</v>
      </c>
      <c r="H45" s="2">
        <v>0</v>
      </c>
      <c r="I45" s="2">
        <v>0</v>
      </c>
      <c r="J45" s="2">
        <v>0</v>
      </c>
      <c r="K45" s="2">
        <v>0</v>
      </c>
      <c r="L45" s="2">
        <v>0</v>
      </c>
      <c r="M45" s="2">
        <v>0</v>
      </c>
      <c r="N45" s="2">
        <v>0</v>
      </c>
      <c r="O45" s="2">
        <v>28550.34</v>
      </c>
      <c r="P45" s="1"/>
      <c r="Q45" s="3">
        <f t="shared" si="12"/>
        <v>28550.34</v>
      </c>
      <c r="R45" s="2">
        <f t="shared" si="13"/>
        <v>28550.34</v>
      </c>
      <c r="S45" s="3">
        <f t="shared" si="14"/>
        <v>0</v>
      </c>
      <c r="T45" s="4">
        <f t="shared" si="15"/>
        <v>0</v>
      </c>
    </row>
    <row r="46" spans="1:21" x14ac:dyDescent="0.25">
      <c r="A46" s="40" t="s">
        <v>451</v>
      </c>
      <c r="B46" s="41">
        <f>12915+1937.25+258.3-9225-1983.25</f>
        <v>3902.2999999999993</v>
      </c>
      <c r="C46" s="2">
        <v>0</v>
      </c>
      <c r="D46" s="2">
        <v>0</v>
      </c>
      <c r="E46" s="2">
        <v>0</v>
      </c>
      <c r="F46" s="2">
        <v>0</v>
      </c>
      <c r="G46" s="2">
        <v>0</v>
      </c>
      <c r="H46" s="2">
        <v>0</v>
      </c>
      <c r="I46" s="2">
        <v>0</v>
      </c>
      <c r="J46" s="2">
        <v>0</v>
      </c>
      <c r="K46" s="2">
        <v>0</v>
      </c>
      <c r="L46" s="2">
        <v>0</v>
      </c>
      <c r="M46" s="2">
        <v>0</v>
      </c>
      <c r="N46" s="2">
        <v>0</v>
      </c>
      <c r="O46" s="2">
        <v>3902.3</v>
      </c>
      <c r="P46" s="1"/>
      <c r="Q46" s="3">
        <f t="shared" si="12"/>
        <v>3902.3</v>
      </c>
      <c r="R46" s="2">
        <f t="shared" si="13"/>
        <v>3902.2999999999993</v>
      </c>
      <c r="S46" s="3">
        <f t="shared" si="14"/>
        <v>0</v>
      </c>
      <c r="T46" s="4">
        <f t="shared" si="15"/>
        <v>0</v>
      </c>
    </row>
    <row r="47" spans="1:21" x14ac:dyDescent="0.25">
      <c r="A47" s="40" t="s">
        <v>125</v>
      </c>
      <c r="B47" s="41">
        <v>125</v>
      </c>
      <c r="C47" s="2">
        <v>0</v>
      </c>
      <c r="D47" s="2">
        <v>0</v>
      </c>
      <c r="E47" s="2">
        <v>0</v>
      </c>
      <c r="F47" s="2">
        <v>0</v>
      </c>
      <c r="G47" s="2">
        <v>0</v>
      </c>
      <c r="H47" s="2">
        <v>0</v>
      </c>
      <c r="I47" s="2">
        <v>0</v>
      </c>
      <c r="J47" s="2">
        <v>0</v>
      </c>
      <c r="K47" s="2">
        <v>0</v>
      </c>
      <c r="L47" s="2">
        <v>0</v>
      </c>
      <c r="M47" s="2">
        <v>0</v>
      </c>
      <c r="N47" s="2">
        <v>0</v>
      </c>
      <c r="O47" s="2">
        <v>125</v>
      </c>
      <c r="P47" s="1"/>
      <c r="Q47" s="3">
        <f t="shared" si="12"/>
        <v>125</v>
      </c>
      <c r="R47" s="2">
        <f t="shared" si="13"/>
        <v>125</v>
      </c>
      <c r="S47" s="3">
        <f t="shared" si="14"/>
        <v>0</v>
      </c>
      <c r="T47" s="4">
        <f t="shared" si="15"/>
        <v>0</v>
      </c>
      <c r="U47" s="95"/>
    </row>
    <row r="48" spans="1:21" ht="15" x14ac:dyDescent="0.25">
      <c r="A48" s="62" t="s">
        <v>452</v>
      </c>
      <c r="B48" s="65"/>
      <c r="C48" s="65"/>
      <c r="D48" s="66"/>
      <c r="E48" s="66"/>
      <c r="F48" s="66"/>
      <c r="G48" s="66"/>
      <c r="H48" s="66"/>
      <c r="I48" s="66"/>
      <c r="J48" s="66"/>
      <c r="K48" s="66"/>
      <c r="L48" s="66"/>
      <c r="M48" s="66"/>
      <c r="N48" s="66"/>
      <c r="O48" s="66"/>
      <c r="P48" s="1"/>
      <c r="Q48" s="67"/>
      <c r="R48" s="66"/>
      <c r="S48" s="67"/>
      <c r="T48" s="68"/>
    </row>
    <row r="49" spans="1:27" x14ac:dyDescent="0.25">
      <c r="A49" s="40" t="s">
        <v>14</v>
      </c>
      <c r="B49" s="41">
        <v>0</v>
      </c>
      <c r="C49" s="2">
        <v>0</v>
      </c>
      <c r="D49" s="2">
        <v>0</v>
      </c>
      <c r="E49" s="2">
        <v>0</v>
      </c>
      <c r="F49" s="2">
        <v>0</v>
      </c>
      <c r="G49" s="2">
        <v>0</v>
      </c>
      <c r="H49" s="2">
        <v>0</v>
      </c>
      <c r="I49" s="2">
        <v>0</v>
      </c>
      <c r="J49" s="2">
        <v>0</v>
      </c>
      <c r="K49" s="2">
        <v>0</v>
      </c>
      <c r="L49" s="2">
        <v>0</v>
      </c>
      <c r="M49" s="2">
        <v>0</v>
      </c>
      <c r="N49" s="2">
        <v>0</v>
      </c>
      <c r="O49" s="2">
        <v>0</v>
      </c>
      <c r="P49" s="1"/>
      <c r="Q49" s="3">
        <f>SUM(C49:O49)</f>
        <v>0</v>
      </c>
      <c r="R49" s="2">
        <f>B49</f>
        <v>0</v>
      </c>
      <c r="S49" s="3">
        <f>R49-Q49</f>
        <v>0</v>
      </c>
      <c r="T49" s="4">
        <f>IFERROR(S49/R49,0)</f>
        <v>0</v>
      </c>
    </row>
    <row r="50" spans="1:27" x14ac:dyDescent="0.25">
      <c r="A50" s="40" t="s">
        <v>393</v>
      </c>
      <c r="B50" s="41">
        <v>435.87</v>
      </c>
      <c r="C50" s="2">
        <v>0</v>
      </c>
      <c r="D50" s="2">
        <v>0</v>
      </c>
      <c r="E50" s="2">
        <v>0</v>
      </c>
      <c r="F50" s="2">
        <v>0</v>
      </c>
      <c r="G50" s="2">
        <v>0</v>
      </c>
      <c r="H50" s="2">
        <v>0</v>
      </c>
      <c r="I50" s="2">
        <v>0</v>
      </c>
      <c r="J50" s="2">
        <v>0</v>
      </c>
      <c r="K50" s="2">
        <v>0</v>
      </c>
      <c r="L50" s="2">
        <v>0</v>
      </c>
      <c r="M50" s="2">
        <v>0</v>
      </c>
      <c r="N50" s="2">
        <v>0</v>
      </c>
      <c r="O50" s="2">
        <v>435.87</v>
      </c>
      <c r="P50" s="1"/>
      <c r="Q50" s="3">
        <f>SUM(C50:O50)</f>
        <v>435.87</v>
      </c>
      <c r="R50" s="2">
        <f>B50</f>
        <v>435.87</v>
      </c>
      <c r="S50" s="3">
        <f>R50-Q50</f>
        <v>0</v>
      </c>
      <c r="T50" s="4">
        <f>IFERROR(S50/R50,0)</f>
        <v>0</v>
      </c>
    </row>
    <row r="51" spans="1:27" x14ac:dyDescent="0.25">
      <c r="A51" s="40" t="s">
        <v>394</v>
      </c>
      <c r="B51" s="41">
        <v>140</v>
      </c>
      <c r="C51" s="2">
        <v>0</v>
      </c>
      <c r="D51" s="2">
        <v>0</v>
      </c>
      <c r="E51" s="2">
        <v>0</v>
      </c>
      <c r="F51" s="2">
        <v>0</v>
      </c>
      <c r="G51" s="2">
        <v>0</v>
      </c>
      <c r="H51" s="2">
        <v>0</v>
      </c>
      <c r="I51" s="2">
        <v>0</v>
      </c>
      <c r="J51" s="2">
        <v>0</v>
      </c>
      <c r="K51" s="2">
        <v>0</v>
      </c>
      <c r="L51" s="2">
        <v>0</v>
      </c>
      <c r="M51" s="2">
        <v>0</v>
      </c>
      <c r="N51" s="2">
        <v>0</v>
      </c>
      <c r="O51" s="2">
        <f>2*70</f>
        <v>140</v>
      </c>
      <c r="P51" s="1"/>
      <c r="Q51" s="3">
        <f>SUM(C51:O51)</f>
        <v>140</v>
      </c>
      <c r="R51" s="2">
        <f>B51</f>
        <v>140</v>
      </c>
      <c r="S51" s="3">
        <f>R51-Q51</f>
        <v>0</v>
      </c>
      <c r="T51" s="4">
        <f>IFERROR(S51/R51,0)</f>
        <v>0</v>
      </c>
    </row>
    <row r="52" spans="1:27" s="32" customFormat="1" ht="15" x14ac:dyDescent="0.25">
      <c r="A52" s="62" t="s">
        <v>453</v>
      </c>
      <c r="B52" s="65"/>
      <c r="C52" s="65"/>
      <c r="D52" s="66"/>
      <c r="E52" s="66"/>
      <c r="F52" s="66"/>
      <c r="G52" s="66"/>
      <c r="H52" s="66"/>
      <c r="I52" s="66"/>
      <c r="J52" s="66"/>
      <c r="K52" s="66"/>
      <c r="L52" s="66"/>
      <c r="M52" s="66"/>
      <c r="N52" s="66"/>
      <c r="O52" s="66"/>
      <c r="P52" s="1"/>
      <c r="Q52" s="67"/>
      <c r="R52" s="66"/>
      <c r="S52" s="67"/>
      <c r="T52" s="68"/>
    </row>
    <row r="53" spans="1:27" s="32" customFormat="1" x14ac:dyDescent="0.25">
      <c r="A53" s="40" t="s">
        <v>14</v>
      </c>
      <c r="B53" s="41">
        <v>0</v>
      </c>
      <c r="C53" s="2">
        <v>0</v>
      </c>
      <c r="D53" s="2">
        <v>0</v>
      </c>
      <c r="E53" s="2">
        <v>0</v>
      </c>
      <c r="F53" s="2">
        <v>0</v>
      </c>
      <c r="G53" s="2">
        <v>0</v>
      </c>
      <c r="H53" s="2">
        <v>0</v>
      </c>
      <c r="I53" s="2">
        <v>0</v>
      </c>
      <c r="J53" s="2">
        <v>0</v>
      </c>
      <c r="K53" s="2">
        <v>0</v>
      </c>
      <c r="L53" s="2">
        <v>0</v>
      </c>
      <c r="M53" s="2">
        <v>0</v>
      </c>
      <c r="N53" s="2">
        <v>0</v>
      </c>
      <c r="O53" s="2">
        <v>0</v>
      </c>
      <c r="P53" s="1"/>
      <c r="Q53" s="3">
        <f>SUM(C53:O53)</f>
        <v>0</v>
      </c>
      <c r="R53" s="2">
        <f>B53</f>
        <v>0</v>
      </c>
      <c r="S53" s="3">
        <f>R53-Q53</f>
        <v>0</v>
      </c>
      <c r="T53" s="4">
        <f>IFERROR(S53/R53,0)</f>
        <v>0</v>
      </c>
    </row>
    <row r="54" spans="1:27" s="32" customFormat="1" ht="15" x14ac:dyDescent="0.25">
      <c r="A54" s="62" t="s">
        <v>135</v>
      </c>
      <c r="B54" s="65"/>
      <c r="C54" s="65"/>
      <c r="D54" s="66"/>
      <c r="E54" s="66"/>
      <c r="F54" s="66"/>
      <c r="G54" s="66"/>
      <c r="H54" s="66"/>
      <c r="I54" s="66"/>
      <c r="J54" s="66"/>
      <c r="K54" s="66"/>
      <c r="L54" s="66"/>
      <c r="M54" s="66"/>
      <c r="N54" s="66"/>
      <c r="O54" s="66"/>
      <c r="P54" s="1"/>
      <c r="Q54" s="67"/>
      <c r="R54" s="66"/>
      <c r="S54" s="67"/>
      <c r="T54" s="68"/>
    </row>
    <row r="55" spans="1:27" s="32" customFormat="1" x14ac:dyDescent="0.25">
      <c r="A55" s="40" t="s">
        <v>370</v>
      </c>
      <c r="B55" s="41">
        <v>3000</v>
      </c>
      <c r="C55" s="2">
        <v>0</v>
      </c>
      <c r="D55" s="2">
        <v>0</v>
      </c>
      <c r="E55" s="2">
        <v>0</v>
      </c>
      <c r="F55" s="2">
        <v>0</v>
      </c>
      <c r="G55" s="2">
        <v>0</v>
      </c>
      <c r="H55" s="2">
        <v>0</v>
      </c>
      <c r="I55" s="2">
        <v>0</v>
      </c>
      <c r="J55" s="2">
        <v>0</v>
      </c>
      <c r="K55" s="2">
        <v>0</v>
      </c>
      <c r="L55" s="2">
        <v>0</v>
      </c>
      <c r="M55" s="2">
        <v>0</v>
      </c>
      <c r="N55" s="2">
        <f>1500+1500</f>
        <v>3000</v>
      </c>
      <c r="O55" s="2">
        <v>0</v>
      </c>
      <c r="P55" s="1"/>
      <c r="Q55" s="3">
        <f t="shared" ref="Q55:Q62" si="16">SUM(C55:O55)</f>
        <v>3000</v>
      </c>
      <c r="R55" s="2">
        <f t="shared" ref="R55:R62" si="17">B55</f>
        <v>3000</v>
      </c>
      <c r="S55" s="3">
        <f t="shared" ref="S55:S62" si="18">R55-Q55</f>
        <v>0</v>
      </c>
      <c r="T55" s="4">
        <f t="shared" ref="T55:T62" si="19">IFERROR(S55/R55,0)</f>
        <v>0</v>
      </c>
    </row>
    <row r="56" spans="1:27" s="32" customFormat="1" x14ac:dyDescent="0.25">
      <c r="A56" s="40" t="s">
        <v>371</v>
      </c>
      <c r="B56" s="41">
        <v>3000</v>
      </c>
      <c r="C56" s="2">
        <v>0</v>
      </c>
      <c r="D56" s="2">
        <v>0</v>
      </c>
      <c r="E56" s="2">
        <v>0</v>
      </c>
      <c r="F56" s="2">
        <v>0</v>
      </c>
      <c r="G56" s="2">
        <v>0</v>
      </c>
      <c r="H56" s="2">
        <v>0</v>
      </c>
      <c r="I56" s="2">
        <v>1500</v>
      </c>
      <c r="J56" s="2">
        <v>0</v>
      </c>
      <c r="K56" s="2">
        <v>0</v>
      </c>
      <c r="L56" s="2">
        <v>0</v>
      </c>
      <c r="M56" s="2">
        <v>0</v>
      </c>
      <c r="N56" s="2">
        <v>1500</v>
      </c>
      <c r="O56" s="2">
        <v>0</v>
      </c>
      <c r="P56" s="1"/>
      <c r="Q56" s="3">
        <f t="shared" si="16"/>
        <v>3000</v>
      </c>
      <c r="R56" s="2">
        <f t="shared" si="17"/>
        <v>3000</v>
      </c>
      <c r="S56" s="3">
        <f t="shared" si="18"/>
        <v>0</v>
      </c>
      <c r="T56" s="4">
        <f t="shared" si="19"/>
        <v>0</v>
      </c>
    </row>
    <row r="57" spans="1:27" s="32" customFormat="1" x14ac:dyDescent="0.25">
      <c r="A57" s="40" t="s">
        <v>372</v>
      </c>
      <c r="B57" s="41">
        <v>1000</v>
      </c>
      <c r="C57" s="2">
        <v>0</v>
      </c>
      <c r="D57" s="2">
        <v>0</v>
      </c>
      <c r="E57" s="2">
        <v>0</v>
      </c>
      <c r="F57" s="2">
        <v>0</v>
      </c>
      <c r="G57" s="2">
        <v>0</v>
      </c>
      <c r="H57" s="2">
        <v>0</v>
      </c>
      <c r="I57" s="2">
        <v>0</v>
      </c>
      <c r="J57" s="2">
        <v>0</v>
      </c>
      <c r="K57" s="2">
        <v>0</v>
      </c>
      <c r="L57" s="2">
        <v>0</v>
      </c>
      <c r="M57" s="2">
        <v>0</v>
      </c>
      <c r="N57" s="2">
        <v>1000</v>
      </c>
      <c r="O57" s="2">
        <v>0</v>
      </c>
      <c r="P57" s="1"/>
      <c r="Q57" s="3">
        <f t="shared" si="16"/>
        <v>1000</v>
      </c>
      <c r="R57" s="2">
        <f t="shared" si="17"/>
        <v>1000</v>
      </c>
      <c r="S57" s="3">
        <f t="shared" si="18"/>
        <v>0</v>
      </c>
      <c r="T57" s="4">
        <f t="shared" si="19"/>
        <v>0</v>
      </c>
    </row>
    <row r="58" spans="1:27" s="32" customFormat="1" x14ac:dyDescent="0.25">
      <c r="A58" s="40" t="s">
        <v>454</v>
      </c>
      <c r="B58" s="41">
        <v>17000</v>
      </c>
      <c r="C58" s="2">
        <v>0</v>
      </c>
      <c r="D58" s="2">
        <v>0</v>
      </c>
      <c r="E58" s="2">
        <v>0</v>
      </c>
      <c r="F58" s="2">
        <v>0</v>
      </c>
      <c r="G58" s="2">
        <v>0</v>
      </c>
      <c r="H58" s="2">
        <v>0</v>
      </c>
      <c r="I58" s="2">
        <v>0</v>
      </c>
      <c r="J58" s="2">
        <v>0</v>
      </c>
      <c r="K58" s="2">
        <v>0</v>
      </c>
      <c r="L58" s="2">
        <v>0</v>
      </c>
      <c r="M58" s="2">
        <v>0</v>
      </c>
      <c r="N58" s="2">
        <f>8500+8500</f>
        <v>17000</v>
      </c>
      <c r="O58" s="2">
        <v>0</v>
      </c>
      <c r="P58" s="1"/>
      <c r="Q58" s="3">
        <f t="shared" si="16"/>
        <v>17000</v>
      </c>
      <c r="R58" s="2">
        <f t="shared" si="17"/>
        <v>17000</v>
      </c>
      <c r="S58" s="3">
        <f t="shared" si="18"/>
        <v>0</v>
      </c>
      <c r="T58" s="4">
        <f t="shared" si="19"/>
        <v>0</v>
      </c>
    </row>
    <row r="59" spans="1:27" s="32" customFormat="1" x14ac:dyDescent="0.25">
      <c r="A59" s="40" t="s">
        <v>329</v>
      </c>
      <c r="B59" s="41">
        <v>15500</v>
      </c>
      <c r="C59" s="2">
        <v>0</v>
      </c>
      <c r="D59" s="2">
        <v>0</v>
      </c>
      <c r="E59" s="2">
        <v>0</v>
      </c>
      <c r="F59" s="2">
        <v>0</v>
      </c>
      <c r="G59" s="2">
        <v>0</v>
      </c>
      <c r="H59" s="2">
        <v>0</v>
      </c>
      <c r="I59" s="2">
        <v>0</v>
      </c>
      <c r="J59" s="2">
        <v>0</v>
      </c>
      <c r="K59" s="2">
        <v>0</v>
      </c>
      <c r="L59" s="2">
        <v>0</v>
      </c>
      <c r="M59" s="2">
        <v>0</v>
      </c>
      <c r="N59" s="2">
        <f>10850+4650</f>
        <v>15500</v>
      </c>
      <c r="O59" s="2">
        <v>0</v>
      </c>
      <c r="P59" s="1"/>
      <c r="Q59" s="3">
        <f t="shared" si="16"/>
        <v>15500</v>
      </c>
      <c r="R59" s="2">
        <f t="shared" si="17"/>
        <v>15500</v>
      </c>
      <c r="S59" s="3">
        <f t="shared" si="18"/>
        <v>0</v>
      </c>
      <c r="T59" s="4">
        <f t="shared" si="19"/>
        <v>0</v>
      </c>
    </row>
    <row r="60" spans="1:27" s="32" customFormat="1" x14ac:dyDescent="0.25">
      <c r="A60" s="40" t="s">
        <v>332</v>
      </c>
      <c r="B60" s="41">
        <v>12199</v>
      </c>
      <c r="C60" s="2">
        <v>0</v>
      </c>
      <c r="D60" s="2">
        <v>0</v>
      </c>
      <c r="E60" s="2">
        <v>0</v>
      </c>
      <c r="F60" s="2">
        <v>0</v>
      </c>
      <c r="G60" s="2">
        <v>6099.5</v>
      </c>
      <c r="H60" s="2">
        <v>0</v>
      </c>
      <c r="I60" s="2">
        <v>0</v>
      </c>
      <c r="J60" s="2">
        <v>0</v>
      </c>
      <c r="K60" s="2">
        <v>0</v>
      </c>
      <c r="L60" s="2">
        <v>0</v>
      </c>
      <c r="M60" s="2">
        <v>0</v>
      </c>
      <c r="N60" s="2">
        <v>6099.5</v>
      </c>
      <c r="O60" s="2">
        <v>0</v>
      </c>
      <c r="P60" s="1"/>
      <c r="Q60" s="3">
        <f t="shared" si="16"/>
        <v>12199</v>
      </c>
      <c r="R60" s="2">
        <f t="shared" si="17"/>
        <v>12199</v>
      </c>
      <c r="S60" s="3">
        <f t="shared" si="18"/>
        <v>0</v>
      </c>
      <c r="T60" s="4">
        <f t="shared" si="19"/>
        <v>0</v>
      </c>
    </row>
    <row r="61" spans="1:27" s="32" customFormat="1" x14ac:dyDescent="0.25">
      <c r="A61" s="40" t="s">
        <v>455</v>
      </c>
      <c r="B61" s="41">
        <v>4000</v>
      </c>
      <c r="C61" s="61">
        <v>0</v>
      </c>
      <c r="D61" s="2">
        <v>0</v>
      </c>
      <c r="E61" s="2">
        <v>0</v>
      </c>
      <c r="F61" s="2">
        <v>0</v>
      </c>
      <c r="G61" s="2">
        <v>0</v>
      </c>
      <c r="H61" s="2">
        <v>0</v>
      </c>
      <c r="I61" s="2">
        <v>0</v>
      </c>
      <c r="J61" s="2">
        <v>0</v>
      </c>
      <c r="K61" s="2">
        <v>0</v>
      </c>
      <c r="L61" s="2">
        <v>0</v>
      </c>
      <c r="M61" s="2">
        <v>0</v>
      </c>
      <c r="N61" s="2">
        <v>0</v>
      </c>
      <c r="O61" s="2">
        <v>4000</v>
      </c>
      <c r="P61" s="1"/>
      <c r="Q61" s="3">
        <f t="shared" si="16"/>
        <v>4000</v>
      </c>
      <c r="R61" s="2">
        <f t="shared" si="17"/>
        <v>4000</v>
      </c>
      <c r="S61" s="3">
        <f t="shared" si="18"/>
        <v>0</v>
      </c>
      <c r="T61" s="4">
        <f t="shared" si="19"/>
        <v>0</v>
      </c>
    </row>
    <row r="62" spans="1:27" s="32" customFormat="1" x14ac:dyDescent="0.25">
      <c r="A62" s="40" t="s">
        <v>456</v>
      </c>
      <c r="B62" s="41">
        <v>250</v>
      </c>
      <c r="C62" s="61">
        <v>0</v>
      </c>
      <c r="D62" s="2">
        <v>0</v>
      </c>
      <c r="E62" s="2">
        <v>0</v>
      </c>
      <c r="F62" s="2">
        <v>0</v>
      </c>
      <c r="G62" s="2">
        <v>0</v>
      </c>
      <c r="H62" s="2">
        <v>0</v>
      </c>
      <c r="I62" s="2">
        <v>0</v>
      </c>
      <c r="J62" s="2">
        <v>0</v>
      </c>
      <c r="K62" s="2">
        <v>0</v>
      </c>
      <c r="L62" s="2">
        <v>0</v>
      </c>
      <c r="M62" s="2">
        <v>0</v>
      </c>
      <c r="N62" s="2">
        <v>250</v>
      </c>
      <c r="O62" s="2">
        <v>0</v>
      </c>
      <c r="P62" s="1"/>
      <c r="Q62" s="3">
        <f t="shared" si="16"/>
        <v>250</v>
      </c>
      <c r="R62" s="2">
        <f t="shared" si="17"/>
        <v>250</v>
      </c>
      <c r="S62" s="3">
        <f t="shared" si="18"/>
        <v>0</v>
      </c>
      <c r="T62" s="4">
        <f t="shared" si="19"/>
        <v>0</v>
      </c>
    </row>
    <row r="63" spans="1:27" ht="15" x14ac:dyDescent="0.25">
      <c r="A63" s="62" t="s">
        <v>139</v>
      </c>
      <c r="B63" s="65"/>
      <c r="C63" s="65"/>
      <c r="D63" s="66"/>
      <c r="E63" s="66"/>
      <c r="F63" s="66"/>
      <c r="G63" s="66"/>
      <c r="H63" s="66"/>
      <c r="I63" s="66"/>
      <c r="J63" s="66"/>
      <c r="K63" s="66"/>
      <c r="L63" s="66"/>
      <c r="M63" s="66"/>
      <c r="N63" s="66"/>
      <c r="O63" s="66"/>
      <c r="P63" s="1"/>
      <c r="Q63" s="67"/>
      <c r="R63" s="66"/>
      <c r="S63" s="67"/>
      <c r="T63" s="68"/>
    </row>
    <row r="64" spans="1:27" x14ac:dyDescent="0.25">
      <c r="A64" s="40" t="s">
        <v>379</v>
      </c>
      <c r="B64" s="41">
        <v>97.21</v>
      </c>
      <c r="C64" s="2">
        <v>0</v>
      </c>
      <c r="D64" s="2">
        <v>0</v>
      </c>
      <c r="E64" s="2">
        <v>0</v>
      </c>
      <c r="F64" s="2">
        <v>0</v>
      </c>
      <c r="G64" s="2">
        <v>0</v>
      </c>
      <c r="H64" s="2">
        <v>0</v>
      </c>
      <c r="I64" s="2">
        <v>0</v>
      </c>
      <c r="J64" s="2">
        <v>0</v>
      </c>
      <c r="K64" s="2">
        <v>0</v>
      </c>
      <c r="L64" s="2">
        <v>0</v>
      </c>
      <c r="M64" s="2">
        <v>0</v>
      </c>
      <c r="N64" s="2">
        <v>97.21</v>
      </c>
      <c r="O64" s="2">
        <v>0</v>
      </c>
      <c r="P64" s="1"/>
      <c r="Q64" s="3">
        <f t="shared" ref="Q64:Q68" si="20">SUM(C64:O64)</f>
        <v>97.21</v>
      </c>
      <c r="R64" s="2">
        <f t="shared" ref="R64:R68" si="21">B64</f>
        <v>97.21</v>
      </c>
      <c r="S64" s="3">
        <f t="shared" ref="S64" si="22">R64-Q64</f>
        <v>0</v>
      </c>
      <c r="T64" s="4">
        <f t="shared" ref="T64" si="23">IFERROR(S64/R64,0)</f>
        <v>0</v>
      </c>
      <c r="U64" s="32"/>
      <c r="V64" s="32"/>
      <c r="W64" s="32"/>
      <c r="X64" s="32"/>
      <c r="Y64" s="32"/>
      <c r="Z64" s="32"/>
      <c r="AA64" s="32"/>
    </row>
    <row r="65" spans="1:20" x14ac:dyDescent="0.25">
      <c r="A65" s="40" t="s">
        <v>14</v>
      </c>
      <c r="B65" s="41">
        <v>335</v>
      </c>
      <c r="C65" s="2">
        <v>0</v>
      </c>
      <c r="D65" s="2">
        <v>0</v>
      </c>
      <c r="E65" s="2">
        <v>0</v>
      </c>
      <c r="F65" s="2">
        <v>0</v>
      </c>
      <c r="G65" s="2">
        <v>0</v>
      </c>
      <c r="H65" s="2">
        <v>0</v>
      </c>
      <c r="I65" s="2">
        <v>0</v>
      </c>
      <c r="J65" s="2">
        <v>0</v>
      </c>
      <c r="K65" s="2">
        <v>0</v>
      </c>
      <c r="L65" s="2">
        <v>0</v>
      </c>
      <c r="M65" s="2">
        <v>0</v>
      </c>
      <c r="N65" s="2">
        <v>0</v>
      </c>
      <c r="O65" s="2">
        <v>335</v>
      </c>
      <c r="P65" s="1"/>
      <c r="Q65" s="3">
        <f t="shared" si="20"/>
        <v>335</v>
      </c>
      <c r="R65" s="2">
        <f t="shared" si="21"/>
        <v>335</v>
      </c>
      <c r="S65" s="3">
        <f t="shared" ref="S65:S68" si="24">R65-Q65</f>
        <v>0</v>
      </c>
      <c r="T65" s="4">
        <f t="shared" ref="T65:T68" si="25">IFERROR(S65/R65,0)</f>
        <v>0</v>
      </c>
    </row>
    <row r="66" spans="1:20" s="32" customFormat="1" x14ac:dyDescent="0.25">
      <c r="A66" s="40" t="s">
        <v>143</v>
      </c>
      <c r="B66" s="41">
        <v>1111</v>
      </c>
      <c r="C66" s="2">
        <v>0</v>
      </c>
      <c r="D66" s="2">
        <v>0</v>
      </c>
      <c r="E66" s="2">
        <v>0</v>
      </c>
      <c r="F66" s="2">
        <v>0</v>
      </c>
      <c r="G66" s="2">
        <v>0</v>
      </c>
      <c r="H66" s="2">
        <v>0</v>
      </c>
      <c r="I66" s="2">
        <v>0</v>
      </c>
      <c r="J66" s="2">
        <v>0</v>
      </c>
      <c r="K66" s="2">
        <v>0</v>
      </c>
      <c r="L66" s="2">
        <v>0</v>
      </c>
      <c r="M66" s="2">
        <v>0</v>
      </c>
      <c r="N66" s="2">
        <v>1111</v>
      </c>
      <c r="O66" s="2">
        <v>0</v>
      </c>
      <c r="P66" s="1"/>
      <c r="Q66" s="3">
        <f t="shared" si="20"/>
        <v>1111</v>
      </c>
      <c r="R66" s="2">
        <f t="shared" si="21"/>
        <v>1111</v>
      </c>
      <c r="S66" s="3">
        <f t="shared" si="24"/>
        <v>0</v>
      </c>
      <c r="T66" s="4">
        <f t="shared" si="25"/>
        <v>0</v>
      </c>
    </row>
    <row r="67" spans="1:20" x14ac:dyDescent="0.25">
      <c r="A67" s="40" t="s">
        <v>144</v>
      </c>
      <c r="B67" s="41">
        <v>2002.53</v>
      </c>
      <c r="C67" s="2">
        <v>0</v>
      </c>
      <c r="D67" s="2">
        <v>0</v>
      </c>
      <c r="E67" s="2">
        <v>0</v>
      </c>
      <c r="F67" s="2">
        <v>0</v>
      </c>
      <c r="G67" s="2">
        <v>0</v>
      </c>
      <c r="H67" s="2">
        <v>0</v>
      </c>
      <c r="I67" s="2">
        <v>0</v>
      </c>
      <c r="J67" s="2">
        <v>0</v>
      </c>
      <c r="K67" s="2">
        <v>0</v>
      </c>
      <c r="L67" s="2">
        <v>0</v>
      </c>
      <c r="M67" s="2">
        <v>0</v>
      </c>
      <c r="N67" s="2">
        <v>2002.53</v>
      </c>
      <c r="O67" s="2">
        <v>0</v>
      </c>
      <c r="P67" s="1"/>
      <c r="Q67" s="3">
        <f t="shared" si="20"/>
        <v>2002.53</v>
      </c>
      <c r="R67" s="2">
        <f t="shared" si="21"/>
        <v>2002.53</v>
      </c>
      <c r="S67" s="3">
        <f t="shared" si="24"/>
        <v>0</v>
      </c>
      <c r="T67" s="4">
        <f t="shared" si="25"/>
        <v>0</v>
      </c>
    </row>
    <row r="68" spans="1:20" x14ac:dyDescent="0.25">
      <c r="A68" s="40" t="s">
        <v>380</v>
      </c>
      <c r="B68" s="41">
        <v>5000</v>
      </c>
      <c r="C68" s="2">
        <v>0</v>
      </c>
      <c r="D68" s="2">
        <v>0</v>
      </c>
      <c r="E68" s="2">
        <v>0</v>
      </c>
      <c r="F68" s="2">
        <v>0</v>
      </c>
      <c r="G68" s="2">
        <v>0</v>
      </c>
      <c r="H68" s="2">
        <v>0</v>
      </c>
      <c r="I68" s="2">
        <v>0</v>
      </c>
      <c r="J68" s="2">
        <v>0</v>
      </c>
      <c r="K68" s="2">
        <v>0</v>
      </c>
      <c r="L68" s="2">
        <v>0</v>
      </c>
      <c r="M68" s="2">
        <v>0</v>
      </c>
      <c r="N68" s="2">
        <v>0</v>
      </c>
      <c r="O68" s="2">
        <v>0</v>
      </c>
      <c r="P68" s="1"/>
      <c r="Q68" s="3">
        <f t="shared" si="20"/>
        <v>0</v>
      </c>
      <c r="R68" s="2">
        <f t="shared" si="21"/>
        <v>5000</v>
      </c>
      <c r="S68" s="3">
        <f t="shared" si="24"/>
        <v>5000</v>
      </c>
      <c r="T68" s="4">
        <f t="shared" si="25"/>
        <v>1</v>
      </c>
    </row>
    <row r="69" spans="1:20" ht="15" x14ac:dyDescent="0.25">
      <c r="A69" s="62" t="s">
        <v>146</v>
      </c>
      <c r="B69" s="65"/>
      <c r="C69" s="65"/>
      <c r="D69" s="66"/>
      <c r="E69" s="66"/>
      <c r="F69" s="66"/>
      <c r="G69" s="66"/>
      <c r="H69" s="66"/>
      <c r="I69" s="66"/>
      <c r="J69" s="66"/>
      <c r="K69" s="66"/>
      <c r="L69" s="66"/>
      <c r="M69" s="66"/>
      <c r="N69" s="66"/>
      <c r="O69" s="66"/>
      <c r="P69" s="1"/>
      <c r="Q69" s="67"/>
      <c r="R69" s="66"/>
      <c r="S69" s="67"/>
      <c r="T69" s="68"/>
    </row>
    <row r="70" spans="1:20" s="32" customFormat="1" x14ac:dyDescent="0.25">
      <c r="A70" s="40" t="s">
        <v>382</v>
      </c>
      <c r="B70" s="41">
        <v>1000</v>
      </c>
      <c r="C70" s="2">
        <v>0</v>
      </c>
      <c r="D70" s="2">
        <v>0</v>
      </c>
      <c r="E70" s="2">
        <v>0</v>
      </c>
      <c r="F70" s="2">
        <v>0</v>
      </c>
      <c r="G70" s="2">
        <v>0</v>
      </c>
      <c r="H70" s="2">
        <v>0</v>
      </c>
      <c r="I70" s="2">
        <v>0</v>
      </c>
      <c r="J70" s="2">
        <v>0</v>
      </c>
      <c r="K70" s="2">
        <v>0</v>
      </c>
      <c r="L70" s="2">
        <v>0</v>
      </c>
      <c r="M70" s="2">
        <v>0</v>
      </c>
      <c r="N70" s="2">
        <v>0</v>
      </c>
      <c r="O70" s="2">
        <v>1000</v>
      </c>
      <c r="P70" s="1"/>
      <c r="Q70" s="3">
        <f t="shared" ref="Q70:Q76" si="26">SUM(C70:O70)</f>
        <v>1000</v>
      </c>
      <c r="R70" s="2">
        <f t="shared" ref="R70:R76" si="27">B70</f>
        <v>1000</v>
      </c>
      <c r="S70" s="3">
        <f t="shared" ref="S70:S76" si="28">R70-Q70</f>
        <v>0</v>
      </c>
      <c r="T70" s="4">
        <f t="shared" ref="T70:T76" si="29">IFERROR(S70/R70,0)</f>
        <v>0</v>
      </c>
    </row>
    <row r="71" spans="1:20" x14ac:dyDescent="0.25">
      <c r="A71" s="40" t="s">
        <v>16</v>
      </c>
      <c r="B71" s="41">
        <v>1930</v>
      </c>
      <c r="C71" s="2">
        <v>0</v>
      </c>
      <c r="D71" s="2">
        <v>0</v>
      </c>
      <c r="E71" s="2">
        <v>0</v>
      </c>
      <c r="F71" s="2">
        <v>0</v>
      </c>
      <c r="G71" s="2">
        <v>0</v>
      </c>
      <c r="H71" s="2">
        <v>0</v>
      </c>
      <c r="I71" s="2">
        <v>0</v>
      </c>
      <c r="J71" s="2">
        <v>0</v>
      </c>
      <c r="K71" s="2">
        <v>0</v>
      </c>
      <c r="L71" s="2">
        <v>0</v>
      </c>
      <c r="M71" s="2">
        <v>0</v>
      </c>
      <c r="N71" s="2">
        <v>1930</v>
      </c>
      <c r="O71" s="2">
        <v>0</v>
      </c>
      <c r="P71" s="1"/>
      <c r="Q71" s="3">
        <f t="shared" si="26"/>
        <v>1930</v>
      </c>
      <c r="R71" s="2">
        <f t="shared" si="27"/>
        <v>1930</v>
      </c>
      <c r="S71" s="3">
        <f t="shared" si="28"/>
        <v>0</v>
      </c>
      <c r="T71" s="4">
        <f t="shared" si="29"/>
        <v>0</v>
      </c>
    </row>
    <row r="72" spans="1:20" s="32" customFormat="1" x14ac:dyDescent="0.25">
      <c r="A72" s="40" t="s">
        <v>383</v>
      </c>
      <c r="B72" s="41">
        <v>21364.81</v>
      </c>
      <c r="C72" s="2">
        <v>0</v>
      </c>
      <c r="D72" s="2">
        <v>0</v>
      </c>
      <c r="E72" s="2">
        <v>0</v>
      </c>
      <c r="F72" s="2">
        <v>0</v>
      </c>
      <c r="G72" s="2">
        <v>0</v>
      </c>
      <c r="H72" s="2">
        <v>0</v>
      </c>
      <c r="I72" s="2">
        <v>0</v>
      </c>
      <c r="J72" s="2">
        <v>0</v>
      </c>
      <c r="K72" s="2">
        <v>0</v>
      </c>
      <c r="L72" s="2">
        <v>0</v>
      </c>
      <c r="M72" s="2">
        <v>0</v>
      </c>
      <c r="N72" s="2"/>
      <c r="O72" s="2">
        <v>21364.81</v>
      </c>
      <c r="P72" s="1"/>
      <c r="Q72" s="3">
        <f t="shared" si="26"/>
        <v>21364.81</v>
      </c>
      <c r="R72" s="2">
        <f t="shared" si="27"/>
        <v>21364.81</v>
      </c>
      <c r="S72" s="3">
        <f t="shared" si="28"/>
        <v>0</v>
      </c>
      <c r="T72" s="4">
        <f t="shared" si="29"/>
        <v>0</v>
      </c>
    </row>
    <row r="73" spans="1:20" s="32" customFormat="1" x14ac:dyDescent="0.25">
      <c r="A73" s="40" t="s">
        <v>384</v>
      </c>
      <c r="B73" s="41">
        <v>5400</v>
      </c>
      <c r="C73" s="2">
        <v>0</v>
      </c>
      <c r="D73" s="2">
        <v>0</v>
      </c>
      <c r="E73" s="2">
        <v>0</v>
      </c>
      <c r="F73" s="2">
        <v>0</v>
      </c>
      <c r="G73" s="2">
        <v>0</v>
      </c>
      <c r="H73" s="2">
        <v>0</v>
      </c>
      <c r="I73" s="2">
        <v>0</v>
      </c>
      <c r="J73" s="2">
        <v>0</v>
      </c>
      <c r="K73" s="2">
        <v>0</v>
      </c>
      <c r="L73" s="2">
        <v>0</v>
      </c>
      <c r="M73" s="2">
        <v>0</v>
      </c>
      <c r="N73" s="2">
        <v>0</v>
      </c>
      <c r="O73" s="2">
        <v>5400</v>
      </c>
      <c r="P73" s="1"/>
      <c r="Q73" s="3">
        <f t="shared" si="26"/>
        <v>5400</v>
      </c>
      <c r="R73" s="2">
        <f t="shared" si="27"/>
        <v>5400</v>
      </c>
      <c r="S73" s="3">
        <f t="shared" si="28"/>
        <v>0</v>
      </c>
      <c r="T73" s="4">
        <f t="shared" si="29"/>
        <v>0</v>
      </c>
    </row>
    <row r="74" spans="1:20" s="32" customFormat="1" x14ac:dyDescent="0.25">
      <c r="A74" s="40" t="s">
        <v>385</v>
      </c>
      <c r="B74" s="41">
        <v>6000</v>
      </c>
      <c r="C74" s="2">
        <v>0</v>
      </c>
      <c r="D74" s="2">
        <v>0</v>
      </c>
      <c r="E74" s="2">
        <v>0</v>
      </c>
      <c r="F74" s="2">
        <v>0</v>
      </c>
      <c r="G74" s="2">
        <v>0</v>
      </c>
      <c r="H74" s="2">
        <v>0</v>
      </c>
      <c r="I74" s="2">
        <v>0</v>
      </c>
      <c r="J74" s="2">
        <v>0</v>
      </c>
      <c r="K74" s="2">
        <v>0</v>
      </c>
      <c r="L74" s="2">
        <v>0</v>
      </c>
      <c r="M74" s="2">
        <v>0</v>
      </c>
      <c r="N74" s="2">
        <v>0</v>
      </c>
      <c r="O74" s="2">
        <v>6000</v>
      </c>
      <c r="P74" s="1"/>
      <c r="Q74" s="3">
        <f t="shared" si="26"/>
        <v>6000</v>
      </c>
      <c r="R74" s="2">
        <f t="shared" si="27"/>
        <v>6000</v>
      </c>
      <c r="S74" s="3">
        <f t="shared" si="28"/>
        <v>0</v>
      </c>
      <c r="T74" s="4">
        <f t="shared" si="29"/>
        <v>0</v>
      </c>
    </row>
    <row r="75" spans="1:20" s="32" customFormat="1" x14ac:dyDescent="0.25">
      <c r="A75" s="40" t="s">
        <v>457</v>
      </c>
      <c r="B75" s="41">
        <v>1000</v>
      </c>
      <c r="C75" s="2">
        <v>0</v>
      </c>
      <c r="D75" s="2">
        <v>0</v>
      </c>
      <c r="E75" s="2">
        <v>0</v>
      </c>
      <c r="F75" s="2">
        <v>0</v>
      </c>
      <c r="G75" s="2">
        <v>0</v>
      </c>
      <c r="H75" s="2">
        <v>0</v>
      </c>
      <c r="I75" s="2">
        <v>0</v>
      </c>
      <c r="J75" s="2">
        <v>0</v>
      </c>
      <c r="K75" s="2">
        <v>0</v>
      </c>
      <c r="L75" s="2">
        <v>0</v>
      </c>
      <c r="M75" s="2">
        <v>0</v>
      </c>
      <c r="N75" s="2">
        <f>250+750</f>
        <v>1000</v>
      </c>
      <c r="O75" s="2">
        <v>0</v>
      </c>
      <c r="P75" s="1"/>
      <c r="Q75" s="3">
        <f t="shared" si="26"/>
        <v>1000</v>
      </c>
      <c r="R75" s="2">
        <f t="shared" si="27"/>
        <v>1000</v>
      </c>
      <c r="S75" s="3">
        <f t="shared" si="28"/>
        <v>0</v>
      </c>
      <c r="T75" s="4">
        <f t="shared" si="29"/>
        <v>0</v>
      </c>
    </row>
    <row r="76" spans="1:20" s="32" customFormat="1" x14ac:dyDescent="0.25">
      <c r="A76" s="40" t="s">
        <v>148</v>
      </c>
      <c r="B76" s="41">
        <v>275</v>
      </c>
      <c r="C76" s="2">
        <v>0</v>
      </c>
      <c r="D76" s="2">
        <v>0</v>
      </c>
      <c r="E76" s="2">
        <v>0</v>
      </c>
      <c r="F76" s="2">
        <v>0</v>
      </c>
      <c r="G76" s="2">
        <v>0</v>
      </c>
      <c r="H76" s="2">
        <v>0</v>
      </c>
      <c r="I76" s="2">
        <v>0</v>
      </c>
      <c r="J76" s="2">
        <v>0</v>
      </c>
      <c r="K76" s="2">
        <v>0</v>
      </c>
      <c r="L76" s="2">
        <v>0</v>
      </c>
      <c r="M76" s="2">
        <v>0</v>
      </c>
      <c r="N76" s="2">
        <v>0</v>
      </c>
      <c r="O76" s="2">
        <v>275</v>
      </c>
      <c r="P76" s="1"/>
      <c r="Q76" s="3">
        <f t="shared" si="26"/>
        <v>275</v>
      </c>
      <c r="R76" s="2">
        <f t="shared" si="27"/>
        <v>275</v>
      </c>
      <c r="S76" s="3">
        <f t="shared" si="28"/>
        <v>0</v>
      </c>
      <c r="T76" s="4">
        <f t="shared" si="29"/>
        <v>0</v>
      </c>
    </row>
    <row r="77" spans="1:20" ht="15" x14ac:dyDescent="0.25">
      <c r="A77" s="62" t="s">
        <v>150</v>
      </c>
      <c r="B77" s="65"/>
      <c r="C77" s="65"/>
      <c r="D77" s="66"/>
      <c r="E77" s="66"/>
      <c r="F77" s="66"/>
      <c r="G77" s="66"/>
      <c r="H77" s="66"/>
      <c r="I77" s="66"/>
      <c r="J77" s="66"/>
      <c r="K77" s="66"/>
      <c r="L77" s="66"/>
      <c r="M77" s="66"/>
      <c r="N77" s="66"/>
      <c r="O77" s="66"/>
      <c r="P77" s="1"/>
      <c r="Q77" s="67"/>
      <c r="R77" s="66"/>
      <c r="S77" s="67"/>
      <c r="T77" s="68"/>
    </row>
    <row r="78" spans="1:20" x14ac:dyDescent="0.25">
      <c r="A78" s="40" t="s">
        <v>376</v>
      </c>
      <c r="B78" s="41">
        <v>75</v>
      </c>
      <c r="C78" s="2">
        <v>0</v>
      </c>
      <c r="D78" s="2">
        <v>0</v>
      </c>
      <c r="E78" s="2">
        <v>0</v>
      </c>
      <c r="F78" s="2">
        <v>0</v>
      </c>
      <c r="G78" s="2">
        <v>0</v>
      </c>
      <c r="H78" s="2">
        <v>0</v>
      </c>
      <c r="I78" s="2">
        <v>0</v>
      </c>
      <c r="J78" s="2">
        <v>0</v>
      </c>
      <c r="K78" s="2">
        <v>0</v>
      </c>
      <c r="L78" s="2">
        <v>75</v>
      </c>
      <c r="M78" s="2">
        <v>0</v>
      </c>
      <c r="N78" s="2">
        <v>0</v>
      </c>
      <c r="O78" s="2">
        <v>0</v>
      </c>
      <c r="P78" s="1"/>
      <c r="Q78" s="3">
        <f>SUM(C78:O78)</f>
        <v>75</v>
      </c>
      <c r="R78" s="2">
        <f>B78</f>
        <v>75</v>
      </c>
      <c r="S78" s="3">
        <f>R78-Q78</f>
        <v>0</v>
      </c>
      <c r="T78" s="4">
        <f>IFERROR(S78/R78,0)</f>
        <v>0</v>
      </c>
    </row>
    <row r="79" spans="1:20" ht="15" x14ac:dyDescent="0.25">
      <c r="A79" s="62" t="s">
        <v>367</v>
      </c>
      <c r="B79" s="65"/>
      <c r="C79" s="65"/>
      <c r="D79" s="66"/>
      <c r="E79" s="66"/>
      <c r="F79" s="66"/>
      <c r="G79" s="66"/>
      <c r="H79" s="66"/>
      <c r="I79" s="66"/>
      <c r="J79" s="66"/>
      <c r="K79" s="66"/>
      <c r="L79" s="66"/>
      <c r="M79" s="66"/>
      <c r="N79" s="66"/>
      <c r="O79" s="66"/>
      <c r="P79" s="1"/>
      <c r="Q79" s="67"/>
      <c r="R79" s="66"/>
      <c r="S79" s="67"/>
      <c r="T79" s="68"/>
    </row>
    <row r="80" spans="1:20" x14ac:dyDescent="0.25">
      <c r="A80" s="40" t="s">
        <v>154</v>
      </c>
      <c r="B80" s="41">
        <v>5000</v>
      </c>
      <c r="C80" s="2">
        <v>0</v>
      </c>
      <c r="D80" s="2">
        <v>0</v>
      </c>
      <c r="E80" s="2">
        <v>0</v>
      </c>
      <c r="F80" s="2">
        <v>0</v>
      </c>
      <c r="G80" s="2">
        <v>0</v>
      </c>
      <c r="H80" s="2">
        <v>0</v>
      </c>
      <c r="I80" s="2">
        <v>0</v>
      </c>
      <c r="J80" s="2">
        <v>0</v>
      </c>
      <c r="K80" s="2">
        <v>0</v>
      </c>
      <c r="L80" s="2">
        <v>0</v>
      </c>
      <c r="M80" s="2">
        <v>0</v>
      </c>
      <c r="N80" s="2">
        <v>0</v>
      </c>
      <c r="O80" s="2">
        <v>0</v>
      </c>
      <c r="P80" s="1"/>
      <c r="Q80" s="3">
        <f>SUM(C80:O80)</f>
        <v>0</v>
      </c>
      <c r="R80" s="2">
        <f>B80</f>
        <v>5000</v>
      </c>
      <c r="S80" s="3">
        <f>R80-Q80</f>
        <v>5000</v>
      </c>
      <c r="T80" s="4">
        <f>IFERROR(S80/R80,0)</f>
        <v>1</v>
      </c>
    </row>
    <row r="81" spans="1:20" x14ac:dyDescent="0.25">
      <c r="A81" s="40" t="s">
        <v>155</v>
      </c>
      <c r="B81" s="41">
        <v>175</v>
      </c>
      <c r="C81" s="2">
        <v>0</v>
      </c>
      <c r="D81" s="2">
        <v>0</v>
      </c>
      <c r="E81" s="2">
        <v>0</v>
      </c>
      <c r="F81" s="2">
        <v>0</v>
      </c>
      <c r="G81" s="2">
        <v>0</v>
      </c>
      <c r="H81" s="2">
        <v>0</v>
      </c>
      <c r="I81" s="2">
        <v>0</v>
      </c>
      <c r="J81" s="2">
        <v>0</v>
      </c>
      <c r="K81" s="2">
        <v>0</v>
      </c>
      <c r="L81" s="2">
        <v>0</v>
      </c>
      <c r="M81" s="2">
        <v>0</v>
      </c>
      <c r="N81" s="2">
        <v>0</v>
      </c>
      <c r="O81" s="2">
        <v>175</v>
      </c>
      <c r="P81" s="1"/>
      <c r="Q81" s="3">
        <f>SUM(C81:O81)</f>
        <v>175</v>
      </c>
      <c r="R81" s="2">
        <f>B81</f>
        <v>175</v>
      </c>
      <c r="S81" s="3">
        <f>R81-Q81</f>
        <v>0</v>
      </c>
      <c r="T81" s="4">
        <f>IFERROR(S81/R81,0)</f>
        <v>0</v>
      </c>
    </row>
    <row r="82" spans="1:20" x14ac:dyDescent="0.25">
      <c r="A82" s="40" t="s">
        <v>458</v>
      </c>
      <c r="B82" s="41">
        <v>210</v>
      </c>
      <c r="C82" s="2">
        <v>0</v>
      </c>
      <c r="D82" s="2">
        <v>0</v>
      </c>
      <c r="E82" s="2">
        <v>0</v>
      </c>
      <c r="F82" s="2">
        <v>0</v>
      </c>
      <c r="G82" s="2">
        <v>0</v>
      </c>
      <c r="H82" s="2">
        <v>0</v>
      </c>
      <c r="I82" s="2">
        <v>0</v>
      </c>
      <c r="J82" s="2">
        <v>0</v>
      </c>
      <c r="K82" s="2">
        <v>0</v>
      </c>
      <c r="L82" s="2">
        <v>0</v>
      </c>
      <c r="M82" s="2">
        <v>0</v>
      </c>
      <c r="N82" s="2">
        <v>0</v>
      </c>
      <c r="O82" s="2">
        <v>210</v>
      </c>
      <c r="P82" s="1"/>
      <c r="Q82" s="3">
        <f>SUM(C82:O82)</f>
        <v>210</v>
      </c>
      <c r="R82" s="2">
        <f>B82</f>
        <v>210</v>
      </c>
      <c r="S82" s="3">
        <f>R82-Q82</f>
        <v>0</v>
      </c>
      <c r="T82" s="4">
        <f>IFERROR(S82/R82,0)</f>
        <v>0</v>
      </c>
    </row>
    <row r="83" spans="1:20" ht="15" x14ac:dyDescent="0.25">
      <c r="A83" s="62" t="s">
        <v>401</v>
      </c>
      <c r="B83" s="69"/>
      <c r="C83" s="69"/>
      <c r="D83" s="66"/>
      <c r="E83" s="66"/>
      <c r="F83" s="66"/>
      <c r="G83" s="66"/>
      <c r="H83" s="66"/>
      <c r="I83" s="66"/>
      <c r="J83" s="66"/>
      <c r="K83" s="66"/>
      <c r="L83" s="66"/>
      <c r="M83" s="66"/>
      <c r="N83" s="66"/>
      <c r="O83" s="66"/>
      <c r="P83" s="1"/>
      <c r="Q83" s="67"/>
      <c r="R83" s="66"/>
      <c r="S83" s="67"/>
      <c r="T83" s="68"/>
    </row>
    <row r="84" spans="1:20" x14ac:dyDescent="0.25">
      <c r="A84" s="40" t="s">
        <v>459</v>
      </c>
      <c r="B84" s="41">
        <v>749</v>
      </c>
      <c r="C84" s="2">
        <v>0</v>
      </c>
      <c r="D84" s="2">
        <v>0</v>
      </c>
      <c r="E84" s="2">
        <v>0</v>
      </c>
      <c r="F84" s="2">
        <v>0</v>
      </c>
      <c r="G84" s="2">
        <v>0</v>
      </c>
      <c r="H84" s="2">
        <v>0</v>
      </c>
      <c r="I84" s="2">
        <v>0</v>
      </c>
      <c r="J84" s="2">
        <v>0</v>
      </c>
      <c r="K84" s="2">
        <v>0</v>
      </c>
      <c r="L84" s="2">
        <v>0</v>
      </c>
      <c r="M84" s="2">
        <v>0</v>
      </c>
      <c r="N84" s="2">
        <v>0</v>
      </c>
      <c r="O84" s="2">
        <v>0</v>
      </c>
      <c r="P84" s="1"/>
      <c r="Q84" s="3">
        <f>SUM(C84:O84)</f>
        <v>0</v>
      </c>
      <c r="R84" s="2">
        <f>B84</f>
        <v>749</v>
      </c>
      <c r="S84" s="3">
        <f>R84-Q84</f>
        <v>749</v>
      </c>
      <c r="T84" s="4">
        <f>IFERROR(S84/R84,0)</f>
        <v>1</v>
      </c>
    </row>
    <row r="85" spans="1:20" x14ac:dyDescent="0.25">
      <c r="A85" s="40" t="s">
        <v>406</v>
      </c>
      <c r="B85" s="41">
        <v>749</v>
      </c>
      <c r="C85" s="2">
        <v>0</v>
      </c>
      <c r="D85" s="2">
        <v>0</v>
      </c>
      <c r="E85" s="2">
        <v>0</v>
      </c>
      <c r="F85" s="2">
        <v>0</v>
      </c>
      <c r="G85" s="2">
        <v>0</v>
      </c>
      <c r="H85" s="2">
        <v>0</v>
      </c>
      <c r="I85" s="2">
        <v>0</v>
      </c>
      <c r="J85" s="2">
        <v>0</v>
      </c>
      <c r="K85" s="2">
        <v>0</v>
      </c>
      <c r="L85" s="2">
        <v>0</v>
      </c>
      <c r="M85" s="2">
        <v>0</v>
      </c>
      <c r="N85" s="2">
        <v>0</v>
      </c>
      <c r="O85" s="2">
        <v>0</v>
      </c>
      <c r="P85" s="1"/>
      <c r="Q85" s="3">
        <f t="shared" ref="Q85:Q89" si="30">SUM(C85:O85)</f>
        <v>0</v>
      </c>
      <c r="R85" s="2">
        <f t="shared" ref="R85:R89" si="31">B85</f>
        <v>749</v>
      </c>
      <c r="S85" s="3">
        <f t="shared" ref="S85:S89" si="32">R85-Q85</f>
        <v>749</v>
      </c>
      <c r="T85" s="4">
        <f t="shared" ref="T85:T89" si="33">IFERROR(S85/R85,0)</f>
        <v>1</v>
      </c>
    </row>
    <row r="86" spans="1:20" x14ac:dyDescent="0.25">
      <c r="A86" s="40" t="s">
        <v>407</v>
      </c>
      <c r="B86" s="41">
        <v>749</v>
      </c>
      <c r="C86" s="2">
        <v>0</v>
      </c>
      <c r="D86" s="2">
        <v>0</v>
      </c>
      <c r="E86" s="2">
        <v>0</v>
      </c>
      <c r="F86" s="2">
        <v>0</v>
      </c>
      <c r="G86" s="2">
        <v>0</v>
      </c>
      <c r="H86" s="2">
        <v>0</v>
      </c>
      <c r="I86" s="2">
        <v>0</v>
      </c>
      <c r="J86" s="2">
        <v>0</v>
      </c>
      <c r="K86" s="2">
        <v>0</v>
      </c>
      <c r="L86" s="2">
        <v>0</v>
      </c>
      <c r="M86" s="2">
        <v>0</v>
      </c>
      <c r="N86" s="2">
        <v>0</v>
      </c>
      <c r="O86" s="2">
        <v>0</v>
      </c>
      <c r="P86" s="1"/>
      <c r="Q86" s="3">
        <f t="shared" si="30"/>
        <v>0</v>
      </c>
      <c r="R86" s="2">
        <f t="shared" si="31"/>
        <v>749</v>
      </c>
      <c r="S86" s="3">
        <f t="shared" si="32"/>
        <v>749</v>
      </c>
      <c r="T86" s="4">
        <f t="shared" si="33"/>
        <v>1</v>
      </c>
    </row>
    <row r="87" spans="1:20" x14ac:dyDescent="0.25">
      <c r="A87" s="40" t="s">
        <v>460</v>
      </c>
      <c r="B87" s="41">
        <v>179</v>
      </c>
      <c r="C87" s="2">
        <v>0</v>
      </c>
      <c r="D87" s="2">
        <v>0</v>
      </c>
      <c r="E87" s="2">
        <v>0</v>
      </c>
      <c r="F87" s="2">
        <v>0</v>
      </c>
      <c r="G87" s="2">
        <v>0</v>
      </c>
      <c r="H87" s="2">
        <v>0</v>
      </c>
      <c r="I87" s="2">
        <v>0</v>
      </c>
      <c r="J87" s="2">
        <v>0</v>
      </c>
      <c r="K87" s="2">
        <v>0</v>
      </c>
      <c r="L87" s="2">
        <v>0</v>
      </c>
      <c r="M87" s="2">
        <v>0</v>
      </c>
      <c r="N87" s="2">
        <v>0</v>
      </c>
      <c r="O87" s="2">
        <v>0</v>
      </c>
      <c r="P87" s="1"/>
      <c r="Q87" s="3">
        <f t="shared" si="30"/>
        <v>0</v>
      </c>
      <c r="R87" s="2">
        <f t="shared" si="31"/>
        <v>179</v>
      </c>
      <c r="S87" s="3">
        <f t="shared" si="32"/>
        <v>179</v>
      </c>
      <c r="T87" s="4">
        <f t="shared" si="33"/>
        <v>1</v>
      </c>
    </row>
    <row r="88" spans="1:20" x14ac:dyDescent="0.25">
      <c r="A88" s="40" t="s">
        <v>461</v>
      </c>
      <c r="B88" s="41">
        <v>5</v>
      </c>
      <c r="C88" s="2">
        <v>0</v>
      </c>
      <c r="D88" s="2">
        <v>0</v>
      </c>
      <c r="E88" s="2">
        <v>0</v>
      </c>
      <c r="F88" s="2">
        <v>0</v>
      </c>
      <c r="G88" s="2">
        <v>0</v>
      </c>
      <c r="H88" s="2">
        <v>0</v>
      </c>
      <c r="I88" s="2">
        <v>0</v>
      </c>
      <c r="J88" s="2">
        <v>0</v>
      </c>
      <c r="K88" s="2">
        <v>0</v>
      </c>
      <c r="L88" s="2">
        <v>0</v>
      </c>
      <c r="M88" s="2">
        <v>0</v>
      </c>
      <c r="N88" s="2">
        <v>0</v>
      </c>
      <c r="O88" s="2">
        <v>0</v>
      </c>
      <c r="P88" s="1"/>
      <c r="Q88" s="3">
        <f t="shared" si="30"/>
        <v>0</v>
      </c>
      <c r="R88" s="2">
        <f t="shared" si="31"/>
        <v>5</v>
      </c>
      <c r="S88" s="3">
        <f t="shared" si="32"/>
        <v>5</v>
      </c>
      <c r="T88" s="4">
        <f t="shared" si="33"/>
        <v>1</v>
      </c>
    </row>
    <row r="89" spans="1:20" x14ac:dyDescent="0.25">
      <c r="A89" s="40" t="s">
        <v>409</v>
      </c>
      <c r="B89" s="41">
        <v>749</v>
      </c>
      <c r="C89" s="2">
        <v>0</v>
      </c>
      <c r="D89" s="2">
        <v>0</v>
      </c>
      <c r="E89" s="2">
        <v>0</v>
      </c>
      <c r="F89" s="2">
        <v>0</v>
      </c>
      <c r="G89" s="2">
        <v>0</v>
      </c>
      <c r="H89" s="2">
        <v>0</v>
      </c>
      <c r="I89" s="2">
        <v>0</v>
      </c>
      <c r="J89" s="2">
        <v>0</v>
      </c>
      <c r="K89" s="2">
        <v>0</v>
      </c>
      <c r="L89" s="2">
        <v>0</v>
      </c>
      <c r="M89" s="2">
        <v>0</v>
      </c>
      <c r="N89" s="2">
        <v>0</v>
      </c>
      <c r="O89" s="2">
        <v>0</v>
      </c>
      <c r="P89" s="1"/>
      <c r="Q89" s="3">
        <f t="shared" si="30"/>
        <v>0</v>
      </c>
      <c r="R89" s="2">
        <f t="shared" si="31"/>
        <v>749</v>
      </c>
      <c r="S89" s="3">
        <f t="shared" si="32"/>
        <v>749</v>
      </c>
      <c r="T89" s="4">
        <f t="shared" si="33"/>
        <v>1</v>
      </c>
    </row>
    <row r="90" spans="1:20" x14ac:dyDescent="0.25">
      <c r="A90" s="40"/>
      <c r="B90" s="41"/>
      <c r="C90" s="61"/>
      <c r="D90" s="61"/>
      <c r="E90" s="61"/>
      <c r="F90" s="61"/>
      <c r="G90" s="61"/>
      <c r="H90" s="61"/>
      <c r="I90" s="61"/>
      <c r="J90" s="61"/>
      <c r="K90" s="61"/>
      <c r="L90" s="61"/>
      <c r="M90" s="61"/>
      <c r="N90" s="61"/>
      <c r="O90" s="61"/>
      <c r="P90" s="1"/>
      <c r="Q90" s="150"/>
      <c r="R90" s="61"/>
      <c r="S90" s="150"/>
      <c r="T90" s="4"/>
    </row>
    <row r="91" spans="1:20" x14ac:dyDescent="0.25">
      <c r="A91" s="40"/>
      <c r="B91" s="41"/>
      <c r="C91" s="41"/>
    </row>
    <row r="92" spans="1:20" s="149" customFormat="1" ht="15" x14ac:dyDescent="0.25">
      <c r="A92" s="145" t="s">
        <v>158</v>
      </c>
      <c r="B92" s="146">
        <f>SUM(B2:B91)</f>
        <v>668130.97000000009</v>
      </c>
      <c r="C92" s="146">
        <f>SUM(C2:C91)</f>
        <v>0</v>
      </c>
      <c r="D92" s="146">
        <f t="shared" ref="D92:O92" si="34">SUM(D2:D91)</f>
        <v>6646.36</v>
      </c>
      <c r="E92" s="146">
        <f t="shared" si="34"/>
        <v>1699.13</v>
      </c>
      <c r="F92" s="146">
        <f t="shared" si="34"/>
        <v>9854.75</v>
      </c>
      <c r="G92" s="146">
        <f t="shared" si="34"/>
        <v>6329.5</v>
      </c>
      <c r="H92" s="146">
        <f t="shared" si="34"/>
        <v>225</v>
      </c>
      <c r="I92" s="146">
        <f t="shared" si="34"/>
        <v>2032.5</v>
      </c>
      <c r="J92" s="146">
        <f t="shared" si="34"/>
        <v>13422.59</v>
      </c>
      <c r="K92" s="146">
        <f t="shared" si="34"/>
        <v>316.29000000000002</v>
      </c>
      <c r="L92" s="146">
        <f t="shared" si="34"/>
        <v>7583.66</v>
      </c>
      <c r="M92" s="146">
        <f t="shared" si="34"/>
        <v>8786.4599999999991</v>
      </c>
      <c r="N92" s="146">
        <f t="shared" si="34"/>
        <v>504643.74000000005</v>
      </c>
      <c r="O92" s="146">
        <f t="shared" si="34"/>
        <v>111246.31999999999</v>
      </c>
      <c r="P92" s="147"/>
      <c r="Q92" s="147">
        <f>SUM(Q3:Q91)</f>
        <v>672786.3</v>
      </c>
      <c r="R92" s="147">
        <f>SUM(R3:R91)</f>
        <v>668130.97000000009</v>
      </c>
      <c r="S92" s="147">
        <f>SUM(S3:S91)</f>
        <v>-4655.3300000000163</v>
      </c>
      <c r="T92" s="148">
        <f>AVERAGEA(T3:T79)</f>
        <v>4.510259037162162E-2</v>
      </c>
    </row>
    <row r="93" spans="1:20" ht="15" x14ac:dyDescent="0.25">
      <c r="A93" s="47"/>
      <c r="B93" s="44"/>
      <c r="C93" s="142"/>
      <c r="D93" s="142"/>
      <c r="E93" s="142"/>
      <c r="F93" s="142"/>
      <c r="G93" s="142"/>
      <c r="H93" s="142"/>
      <c r="I93" s="142"/>
      <c r="J93" s="142"/>
      <c r="K93" s="44"/>
      <c r="L93" s="44"/>
      <c r="M93" s="44"/>
      <c r="N93" s="44"/>
      <c r="O93" s="44"/>
      <c r="P93" s="35"/>
      <c r="Q93" s="35"/>
      <c r="R93" s="35"/>
      <c r="S93" s="35"/>
      <c r="T93" s="70"/>
    </row>
    <row r="94" spans="1:20" ht="15" x14ac:dyDescent="0.25">
      <c r="A94" s="47"/>
      <c r="B94" s="143" t="s">
        <v>462</v>
      </c>
      <c r="C94" s="144" t="s">
        <v>412</v>
      </c>
      <c r="D94" s="142"/>
      <c r="E94" s="142"/>
      <c r="F94" s="142"/>
      <c r="G94" s="142"/>
      <c r="H94" s="142"/>
      <c r="I94" s="142"/>
      <c r="J94" s="142"/>
      <c r="K94" s="44"/>
      <c r="L94" s="44"/>
      <c r="M94" s="44"/>
      <c r="N94" s="44"/>
      <c r="O94" s="44"/>
      <c r="P94" s="35"/>
      <c r="Q94" s="35"/>
      <c r="R94" s="35"/>
      <c r="S94" s="35"/>
      <c r="T94" s="70"/>
    </row>
    <row r="95" spans="1:20" ht="15" x14ac:dyDescent="0.25">
      <c r="A95" s="47" t="s">
        <v>159</v>
      </c>
      <c r="B95" s="44">
        <f>B92</f>
        <v>668130.97000000009</v>
      </c>
      <c r="C95" s="44">
        <f>Q92</f>
        <v>672786.3</v>
      </c>
    </row>
    <row r="96" spans="1:20" ht="15" x14ac:dyDescent="0.25">
      <c r="A96" s="42">
        <v>7.5600000000000001E-2</v>
      </c>
      <c r="B96" s="44">
        <f>(B92*A96)</f>
        <v>50510.701332000004</v>
      </c>
      <c r="C96" s="44">
        <f>C95*A96</f>
        <v>50862.64428</v>
      </c>
      <c r="I96" s="197" t="s">
        <v>463</v>
      </c>
      <c r="J96" s="197"/>
      <c r="K96" s="197"/>
      <c r="L96" s="197"/>
      <c r="M96" s="197"/>
      <c r="N96" s="197"/>
      <c r="O96" s="197"/>
      <c r="P96" s="197"/>
      <c r="Q96" s="197"/>
      <c r="R96" s="197"/>
      <c r="S96" s="197"/>
    </row>
    <row r="97" spans="1:26" s="31" customFormat="1" ht="15" x14ac:dyDescent="0.25">
      <c r="A97" s="47" t="s">
        <v>160</v>
      </c>
      <c r="B97" s="48">
        <f>B95+B96</f>
        <v>718641.67133200006</v>
      </c>
      <c r="C97" s="48">
        <f>C95+C96</f>
        <v>723648.94428000005</v>
      </c>
      <c r="D97" s="34"/>
      <c r="I97" s="34"/>
      <c r="J97" s="34" t="s">
        <v>464</v>
      </c>
      <c r="K97" s="35" t="s">
        <v>212</v>
      </c>
      <c r="L97" s="134" t="s">
        <v>465</v>
      </c>
      <c r="M97" s="34" t="s">
        <v>466</v>
      </c>
      <c r="N97" s="131" t="s">
        <v>467</v>
      </c>
      <c r="O97" s="34" t="s">
        <v>468</v>
      </c>
      <c r="P97" s="34" t="s">
        <v>216</v>
      </c>
      <c r="Q97" s="34" t="s">
        <v>469</v>
      </c>
      <c r="R97" s="34" t="s">
        <v>470</v>
      </c>
      <c r="S97" s="34"/>
    </row>
    <row r="98" spans="1:26" ht="15" x14ac:dyDescent="0.25">
      <c r="A98" s="50" t="s">
        <v>161</v>
      </c>
      <c r="B98" s="59">
        <f>B152</f>
        <v>783677.05</v>
      </c>
      <c r="C98" s="59">
        <f>K129</f>
        <v>806561.80000000016</v>
      </c>
      <c r="D98" s="127">
        <v>563</v>
      </c>
      <c r="E98" s="34" t="s">
        <v>471</v>
      </c>
      <c r="I98" s="132">
        <v>45658</v>
      </c>
      <c r="J98" s="86">
        <v>0</v>
      </c>
      <c r="K98" s="86">
        <v>0</v>
      </c>
      <c r="L98" s="123">
        <v>0</v>
      </c>
      <c r="M98" s="86"/>
      <c r="N98" s="86"/>
      <c r="O98" s="86"/>
      <c r="P98" s="86"/>
      <c r="Q98" s="86">
        <v>0</v>
      </c>
      <c r="R98" s="86"/>
      <c r="S98" s="86">
        <f>SUM(J98:R98)</f>
        <v>0</v>
      </c>
    </row>
    <row r="99" spans="1:26" ht="15" x14ac:dyDescent="0.25">
      <c r="A99" s="33" t="s">
        <v>80</v>
      </c>
      <c r="B99" s="94">
        <f>B98-B97</f>
        <v>65035.37866799999</v>
      </c>
      <c r="C99" s="94">
        <f>C98-C97</f>
        <v>82912.855720000109</v>
      </c>
      <c r="D99" s="129">
        <f>ROUND(B99/849,0.5)*-1</f>
        <v>-77</v>
      </c>
      <c r="E99" s="34" t="s">
        <v>472</v>
      </c>
      <c r="I99" s="132">
        <v>45689</v>
      </c>
      <c r="J99" s="86">
        <v>8670.5400000000009</v>
      </c>
      <c r="K99" s="86">
        <v>2575</v>
      </c>
      <c r="L99" s="123">
        <v>114978.15</v>
      </c>
      <c r="M99" s="86"/>
      <c r="N99" s="86"/>
      <c r="O99" s="86"/>
      <c r="P99" s="86">
        <v>771.47</v>
      </c>
      <c r="Q99" s="86">
        <v>502.64</v>
      </c>
      <c r="R99" s="86"/>
      <c r="S99" s="86">
        <f t="shared" ref="S99:S104" si="35">SUM(J99:R99)</f>
        <v>127497.8</v>
      </c>
    </row>
    <row r="100" spans="1:26" x14ac:dyDescent="0.25">
      <c r="A100" s="33"/>
      <c r="B100" s="36"/>
      <c r="C100" s="36"/>
      <c r="D100" s="130">
        <f>SUM(D98:D99)</f>
        <v>486</v>
      </c>
      <c r="E100" s="32" t="s">
        <v>426</v>
      </c>
      <c r="I100" s="133">
        <v>45717</v>
      </c>
      <c r="J100" s="86">
        <v>771.47</v>
      </c>
      <c r="K100" s="86">
        <v>12720.5</v>
      </c>
      <c r="L100" s="123">
        <v>126496.36</v>
      </c>
      <c r="M100" s="86"/>
      <c r="N100" s="86"/>
      <c r="O100" s="86">
        <v>20600</v>
      </c>
      <c r="P100" s="86">
        <v>6356.13</v>
      </c>
      <c r="Q100" s="86">
        <v>523.24</v>
      </c>
      <c r="R100" s="86"/>
      <c r="S100" s="86">
        <f t="shared" si="35"/>
        <v>167467.69999999998</v>
      </c>
    </row>
    <row r="101" spans="1:26" x14ac:dyDescent="0.25">
      <c r="A101" s="33"/>
      <c r="B101" s="36"/>
      <c r="C101" s="36"/>
      <c r="I101" s="133">
        <v>45748</v>
      </c>
      <c r="J101" s="86">
        <v>5246.82</v>
      </c>
      <c r="K101" s="86">
        <v>12720.5</v>
      </c>
      <c r="L101" s="123">
        <v>68761.77</v>
      </c>
      <c r="M101" s="86"/>
      <c r="N101" s="86"/>
      <c r="O101" s="86"/>
      <c r="P101" s="86">
        <v>1748.94</v>
      </c>
      <c r="Q101" s="86">
        <v>0</v>
      </c>
      <c r="R101" s="86"/>
      <c r="S101" s="86">
        <f t="shared" si="35"/>
        <v>88478.03</v>
      </c>
    </row>
    <row r="102" spans="1:26" ht="17.25" customHeight="1" x14ac:dyDescent="0.25">
      <c r="A102" s="53" t="s">
        <v>162</v>
      </c>
      <c r="B102" s="54" t="s">
        <v>82</v>
      </c>
      <c r="C102" s="54"/>
      <c r="I102" s="133">
        <v>45778</v>
      </c>
      <c r="J102" s="86">
        <v>874.47</v>
      </c>
      <c r="K102" s="86">
        <v>7931</v>
      </c>
      <c r="L102" s="123">
        <v>107336.52</v>
      </c>
      <c r="M102" s="86"/>
      <c r="N102" s="86"/>
      <c r="O102" s="86"/>
      <c r="P102" s="86">
        <v>9448.01</v>
      </c>
      <c r="Q102" s="86">
        <v>1290.5899999999999</v>
      </c>
      <c r="R102" s="86">
        <v>8446</v>
      </c>
      <c r="S102" s="86">
        <f t="shared" si="35"/>
        <v>135326.59</v>
      </c>
      <c r="T102" s="138"/>
      <c r="U102" s="138"/>
    </row>
    <row r="103" spans="1:26" ht="15" x14ac:dyDescent="0.25">
      <c r="A103" s="53"/>
      <c r="B103" s="54"/>
      <c r="C103" s="54"/>
      <c r="I103" s="133">
        <v>45809</v>
      </c>
      <c r="J103" s="86">
        <v>0</v>
      </c>
      <c r="K103" s="86">
        <v>2987</v>
      </c>
      <c r="L103" s="123">
        <v>55028.78</v>
      </c>
      <c r="M103" s="86"/>
      <c r="N103" s="86"/>
      <c r="O103" s="86"/>
      <c r="P103" s="86">
        <v>771.47</v>
      </c>
      <c r="Q103" s="86">
        <v>184.37</v>
      </c>
      <c r="R103" s="86"/>
      <c r="S103" s="86">
        <f t="shared" si="35"/>
        <v>58971.62</v>
      </c>
      <c r="T103" s="86"/>
      <c r="U103" s="86"/>
      <c r="W103" s="86"/>
    </row>
    <row r="104" spans="1:26" ht="15" x14ac:dyDescent="0.25">
      <c r="A104" s="50" t="s">
        <v>163</v>
      </c>
      <c r="B104" s="51"/>
      <c r="C104" s="126">
        <v>975</v>
      </c>
      <c r="D104" s="34" t="s">
        <v>164</v>
      </c>
      <c r="I104" s="133">
        <v>45839</v>
      </c>
      <c r="J104" s="86">
        <v>771.47</v>
      </c>
      <c r="K104" s="86">
        <v>515</v>
      </c>
      <c r="L104" s="123">
        <v>11656.51</v>
      </c>
      <c r="M104" s="86"/>
      <c r="N104" s="86"/>
      <c r="O104" s="86"/>
      <c r="P104" s="86">
        <v>925.97</v>
      </c>
      <c r="Q104" s="86"/>
      <c r="R104" s="86"/>
      <c r="S104" s="86">
        <f t="shared" si="35"/>
        <v>13868.949999999999</v>
      </c>
      <c r="T104" s="35"/>
      <c r="U104" s="35"/>
      <c r="V104" s="86"/>
      <c r="W104" s="86"/>
    </row>
    <row r="105" spans="1:26" x14ac:dyDescent="0.25">
      <c r="A105" s="34" t="s">
        <v>473</v>
      </c>
      <c r="B105" s="35">
        <f>749*C105</f>
        <v>238182</v>
      </c>
      <c r="C105" s="127">
        <v>318</v>
      </c>
      <c r="D105" s="219" t="s">
        <v>474</v>
      </c>
      <c r="E105" s="219"/>
      <c r="F105" s="219"/>
      <c r="G105" s="219"/>
      <c r="H105" s="136"/>
      <c r="I105" s="134" t="s">
        <v>161</v>
      </c>
      <c r="J105" s="86">
        <f>SUM(J98:J104)</f>
        <v>16334.769999999999</v>
      </c>
      <c r="K105" s="86">
        <f t="shared" ref="K105:R105" si="36">SUM(K98:K104)</f>
        <v>39449</v>
      </c>
      <c r="L105" s="86">
        <f t="shared" si="36"/>
        <v>484258.09000000008</v>
      </c>
      <c r="M105" s="86">
        <f t="shared" si="36"/>
        <v>0</v>
      </c>
      <c r="N105" s="86">
        <f t="shared" si="36"/>
        <v>0</v>
      </c>
      <c r="O105" s="86">
        <f t="shared" si="36"/>
        <v>20600</v>
      </c>
      <c r="P105" s="86">
        <f t="shared" si="36"/>
        <v>20021.990000000005</v>
      </c>
      <c r="Q105" s="86">
        <f t="shared" si="36"/>
        <v>2500.84</v>
      </c>
      <c r="R105" s="86">
        <f t="shared" si="36"/>
        <v>8446</v>
      </c>
      <c r="S105" s="86">
        <f>SUM(J105:R105)</f>
        <v>591610.69000000006</v>
      </c>
      <c r="T105" s="35"/>
      <c r="U105" s="35"/>
      <c r="V105" s="86"/>
      <c r="W105" s="86"/>
      <c r="X105" s="140"/>
      <c r="Y105" s="137"/>
      <c r="Z105" s="137"/>
    </row>
    <row r="106" spans="1:26" ht="14.1" customHeight="1" x14ac:dyDescent="0.25">
      <c r="A106" s="34" t="s">
        <v>417</v>
      </c>
      <c r="B106" s="35">
        <f>849*C106</f>
        <v>220740</v>
      </c>
      <c r="C106" s="127">
        <v>260</v>
      </c>
      <c r="D106" s="220" t="s">
        <v>475</v>
      </c>
      <c r="E106" s="220"/>
      <c r="F106" s="220"/>
      <c r="G106" s="220"/>
      <c r="H106" s="134"/>
      <c r="I106" s="133"/>
      <c r="J106" s="35"/>
      <c r="K106" s="211"/>
      <c r="L106" s="211"/>
      <c r="M106" s="35"/>
      <c r="N106" s="35"/>
      <c r="O106" s="35"/>
      <c r="P106" s="35"/>
      <c r="Q106" s="35"/>
      <c r="R106" s="139"/>
      <c r="S106" s="139"/>
      <c r="T106" s="35"/>
      <c r="U106" s="35"/>
      <c r="V106" s="86"/>
      <c r="W106" s="86"/>
      <c r="X106" s="140"/>
      <c r="Y106" s="137"/>
      <c r="Z106" s="137"/>
    </row>
    <row r="107" spans="1:26" x14ac:dyDescent="0.25">
      <c r="A107" s="34" t="s">
        <v>476</v>
      </c>
      <c r="B107" s="35">
        <f>179*C107</f>
        <v>16826</v>
      </c>
      <c r="C107" s="127">
        <f>45+49</f>
        <v>94</v>
      </c>
      <c r="D107" s="34" t="s">
        <v>203</v>
      </c>
      <c r="E107" s="80"/>
      <c r="H107" s="134"/>
      <c r="I107" s="34" t="s">
        <v>477</v>
      </c>
      <c r="J107" s="86"/>
      <c r="K107" s="86"/>
      <c r="L107" s="86">
        <f>5+179</f>
        <v>184</v>
      </c>
      <c r="M107" s="86">
        <v>25000</v>
      </c>
      <c r="N107" s="86">
        <v>749</v>
      </c>
      <c r="O107" s="86">
        <v>20000</v>
      </c>
      <c r="P107" s="86">
        <v>749</v>
      </c>
      <c r="Q107" s="86"/>
      <c r="R107" s="86"/>
      <c r="S107" s="86">
        <f>SUM(J107:R107)</f>
        <v>46682</v>
      </c>
      <c r="T107" s="35"/>
      <c r="U107" s="35"/>
      <c r="V107" s="86"/>
      <c r="W107" s="86"/>
      <c r="X107" s="218"/>
      <c r="Y107" s="218"/>
      <c r="Z107" s="218"/>
    </row>
    <row r="108" spans="1:26" x14ac:dyDescent="0.25">
      <c r="A108" s="34" t="s">
        <v>478</v>
      </c>
      <c r="B108" s="35">
        <f>150*C108</f>
        <v>1050</v>
      </c>
      <c r="C108" s="127">
        <f>4+3</f>
        <v>7</v>
      </c>
      <c r="D108" s="34" t="s">
        <v>478</v>
      </c>
      <c r="E108" s="80"/>
      <c r="H108" s="134"/>
      <c r="I108" s="133"/>
      <c r="J108" s="35"/>
      <c r="K108" s="35"/>
      <c r="L108" s="35"/>
      <c r="M108" s="35"/>
      <c r="N108" s="35"/>
      <c r="O108" s="35"/>
      <c r="P108" s="35"/>
      <c r="Q108" s="35"/>
      <c r="R108" s="35"/>
      <c r="S108" s="86" t="s">
        <v>479</v>
      </c>
      <c r="T108" s="35"/>
      <c r="U108" s="35"/>
      <c r="V108" s="86"/>
      <c r="W108" s="86"/>
    </row>
    <row r="109" spans="1:26" x14ac:dyDescent="0.25">
      <c r="A109" s="34" t="s">
        <v>480</v>
      </c>
      <c r="B109" s="35">
        <f>65*C109</f>
        <v>975</v>
      </c>
      <c r="C109" s="127">
        <f>11+4</f>
        <v>15</v>
      </c>
      <c r="D109" s="34" t="s">
        <v>480</v>
      </c>
      <c r="E109" s="80"/>
      <c r="H109" s="134"/>
      <c r="I109" s="133"/>
      <c r="J109" s="35"/>
      <c r="K109" s="141" t="s">
        <v>481</v>
      </c>
      <c r="L109" s="141"/>
      <c r="M109" s="35"/>
      <c r="N109" s="35"/>
      <c r="O109" s="35"/>
      <c r="P109" s="35"/>
      <c r="Q109" s="35"/>
      <c r="R109" s="35"/>
      <c r="S109" s="86" t="s">
        <v>482</v>
      </c>
      <c r="T109" s="35"/>
      <c r="U109" s="35"/>
      <c r="V109" s="86"/>
      <c r="W109" s="86"/>
    </row>
    <row r="110" spans="1:26" x14ac:dyDescent="0.25">
      <c r="A110" s="34" t="s">
        <v>169</v>
      </c>
      <c r="B110" s="35">
        <f t="shared" ref="B110" si="37">749*C110</f>
        <v>20972</v>
      </c>
      <c r="C110" s="127">
        <v>28</v>
      </c>
      <c r="D110" s="34" t="s">
        <v>169</v>
      </c>
      <c r="E110" s="80"/>
      <c r="H110" s="134"/>
      <c r="I110" s="217" t="s">
        <v>483</v>
      </c>
      <c r="J110" s="217"/>
      <c r="K110" s="86">
        <v>127572.45</v>
      </c>
      <c r="L110" s="35"/>
      <c r="M110" s="35"/>
      <c r="N110" s="35"/>
      <c r="O110" s="35"/>
      <c r="P110" s="35"/>
      <c r="Q110" s="35"/>
      <c r="R110" s="35"/>
      <c r="S110" s="86" t="s">
        <v>421</v>
      </c>
      <c r="T110" s="35"/>
      <c r="U110" s="35"/>
      <c r="V110" s="86"/>
      <c r="W110" s="86"/>
    </row>
    <row r="111" spans="1:26" x14ac:dyDescent="0.25">
      <c r="A111" s="34" t="s">
        <v>419</v>
      </c>
      <c r="B111" s="35">
        <v>0</v>
      </c>
      <c r="C111" s="127">
        <v>0</v>
      </c>
      <c r="D111" s="34" t="s">
        <v>484</v>
      </c>
      <c r="E111" s="80"/>
      <c r="H111" s="134"/>
      <c r="I111" s="217" t="s">
        <v>485</v>
      </c>
      <c r="J111" s="217"/>
      <c r="K111" s="86">
        <v>162221.42000000001</v>
      </c>
      <c r="L111" s="35"/>
      <c r="M111" s="35"/>
      <c r="N111" s="35"/>
      <c r="O111" s="35"/>
      <c r="P111" s="35"/>
      <c r="Q111" s="35"/>
      <c r="R111" s="35"/>
      <c r="S111" s="86" t="s">
        <v>424</v>
      </c>
      <c r="T111" s="35"/>
      <c r="U111" s="35"/>
      <c r="V111" s="35"/>
      <c r="W111" s="86"/>
    </row>
    <row r="112" spans="1:26" x14ac:dyDescent="0.25">
      <c r="A112" s="34" t="s">
        <v>422</v>
      </c>
      <c r="B112" s="35">
        <v>0</v>
      </c>
      <c r="C112" s="127">
        <v>116</v>
      </c>
      <c r="D112" s="34" t="s">
        <v>171</v>
      </c>
      <c r="H112" s="134"/>
      <c r="I112" s="217" t="s">
        <v>486</v>
      </c>
      <c r="J112" s="217"/>
      <c r="K112" s="86">
        <v>85823.69</v>
      </c>
      <c r="L112" s="35"/>
      <c r="M112" s="35"/>
      <c r="N112" s="35"/>
      <c r="O112" s="35"/>
      <c r="P112" s="35"/>
      <c r="Q112" s="35"/>
      <c r="R112" s="35"/>
      <c r="S112" s="86" t="s">
        <v>427</v>
      </c>
      <c r="V112" s="86"/>
    </row>
    <row r="113" spans="1:23" x14ac:dyDescent="0.25">
      <c r="A113" s="34" t="s">
        <v>425</v>
      </c>
      <c r="B113" s="35">
        <v>0</v>
      </c>
      <c r="C113" s="127">
        <v>3</v>
      </c>
      <c r="H113" s="134"/>
      <c r="I113" s="217" t="s">
        <v>487</v>
      </c>
      <c r="J113" s="217"/>
      <c r="K113" s="86">
        <v>132661.5</v>
      </c>
      <c r="L113" s="35"/>
      <c r="M113" s="35"/>
      <c r="N113" s="35"/>
      <c r="O113" s="35"/>
      <c r="P113" s="35"/>
      <c r="Q113" s="35"/>
      <c r="R113" s="35"/>
      <c r="S113" s="86" t="s">
        <v>429</v>
      </c>
      <c r="W113" s="135"/>
    </row>
    <row r="114" spans="1:23" x14ac:dyDescent="0.25">
      <c r="A114" s="34" t="s">
        <v>428</v>
      </c>
      <c r="B114" s="35">
        <v>0</v>
      </c>
      <c r="C114" s="127">
        <v>28</v>
      </c>
      <c r="D114" s="34" t="s">
        <v>488</v>
      </c>
      <c r="H114" s="134"/>
      <c r="I114" s="217" t="s">
        <v>489</v>
      </c>
      <c r="J114" s="217"/>
      <c r="K114" s="86">
        <v>56823.62</v>
      </c>
      <c r="L114" s="35"/>
      <c r="M114" s="35"/>
      <c r="N114" s="35"/>
      <c r="O114" s="35"/>
      <c r="P114" s="35"/>
      <c r="Q114" s="35"/>
      <c r="R114" s="35"/>
      <c r="S114" s="86" t="s">
        <v>431</v>
      </c>
      <c r="T114" s="135"/>
      <c r="U114" s="135"/>
      <c r="V114" s="135"/>
      <c r="W114" s="135"/>
    </row>
    <row r="115" spans="1:23" x14ac:dyDescent="0.25">
      <c r="A115" s="32"/>
      <c r="B115" s="39"/>
      <c r="C115" s="128">
        <f>C105+C106+C110+C111+C112+C113+C114</f>
        <v>753</v>
      </c>
      <c r="D115" s="219" t="s">
        <v>490</v>
      </c>
      <c r="E115" s="219"/>
      <c r="F115" s="219"/>
      <c r="G115" s="219"/>
      <c r="H115" s="136"/>
      <c r="I115" s="217" t="s">
        <v>491</v>
      </c>
      <c r="J115" s="217"/>
      <c r="K115" s="86">
        <v>11907.78</v>
      </c>
      <c r="L115" s="35"/>
      <c r="M115" s="35"/>
      <c r="N115" s="35"/>
      <c r="O115" s="35"/>
      <c r="P115" s="35"/>
      <c r="Q115" s="35"/>
      <c r="R115" s="35"/>
      <c r="S115" s="135"/>
    </row>
    <row r="116" spans="1:23" ht="15" x14ac:dyDescent="0.25">
      <c r="A116" s="50" t="s">
        <v>174</v>
      </c>
      <c r="D116" s="80"/>
      <c r="E116" s="80"/>
      <c r="I116" s="217" t="s">
        <v>492</v>
      </c>
      <c r="J116" s="217"/>
      <c r="K116" s="86">
        <v>15000</v>
      </c>
      <c r="L116" s="35"/>
      <c r="M116" s="35"/>
      <c r="N116" s="35"/>
      <c r="O116" s="35"/>
      <c r="P116" s="35"/>
      <c r="Q116" s="35"/>
      <c r="R116" s="35"/>
      <c r="S116" s="135"/>
    </row>
    <row r="117" spans="1:23" ht="15" x14ac:dyDescent="0.25">
      <c r="A117" s="31" t="s">
        <v>71</v>
      </c>
      <c r="B117" s="35">
        <v>150000</v>
      </c>
      <c r="C117" s="34"/>
      <c r="D117" s="35"/>
      <c r="E117" s="80"/>
      <c r="F117" s="80"/>
      <c r="I117" s="217" t="s">
        <v>493</v>
      </c>
      <c r="J117" s="217"/>
      <c r="K117" s="86">
        <v>10000</v>
      </c>
      <c r="L117" s="35"/>
      <c r="M117" s="35"/>
      <c r="N117" s="35"/>
      <c r="O117" s="35"/>
      <c r="P117" s="35"/>
      <c r="Q117" s="35"/>
      <c r="R117" s="35"/>
      <c r="S117" s="135"/>
    </row>
    <row r="118" spans="1:23" x14ac:dyDescent="0.25">
      <c r="A118" s="34" t="s">
        <v>494</v>
      </c>
      <c r="B118" s="35">
        <v>20000</v>
      </c>
      <c r="D118" s="131">
        <v>45789</v>
      </c>
      <c r="E118" s="80" t="s">
        <v>495</v>
      </c>
      <c r="F118" s="80"/>
      <c r="I118" s="217" t="s">
        <v>496</v>
      </c>
      <c r="J118" s="217"/>
      <c r="K118" s="86">
        <v>20000</v>
      </c>
      <c r="L118" s="35"/>
      <c r="M118" s="35"/>
      <c r="N118" s="35"/>
      <c r="O118" s="35"/>
      <c r="P118" s="35"/>
      <c r="Q118" s="35"/>
      <c r="R118" s="35"/>
      <c r="S118" s="135"/>
    </row>
    <row r="119" spans="1:23" x14ac:dyDescent="0.25">
      <c r="A119" s="34" t="s">
        <v>497</v>
      </c>
      <c r="B119" s="35">
        <f>SUM(B19:B22)</f>
        <v>27985.05</v>
      </c>
      <c r="D119" s="35"/>
      <c r="E119" s="80"/>
      <c r="F119" s="80"/>
      <c r="I119" s="217" t="s">
        <v>498</v>
      </c>
      <c r="J119" s="217"/>
      <c r="K119" s="86">
        <v>1000</v>
      </c>
      <c r="L119" s="35"/>
      <c r="M119" s="35"/>
      <c r="N119" s="35"/>
      <c r="O119" s="35"/>
      <c r="P119" s="35"/>
      <c r="Q119" s="35"/>
      <c r="R119" s="35"/>
      <c r="S119" s="135"/>
    </row>
    <row r="120" spans="1:23" x14ac:dyDescent="0.25">
      <c r="A120" s="34" t="s">
        <v>499</v>
      </c>
      <c r="B120" s="35">
        <v>1000</v>
      </c>
      <c r="D120" s="35"/>
      <c r="E120" s="80"/>
      <c r="I120" s="34" t="s">
        <v>500</v>
      </c>
      <c r="K120" s="86">
        <f>Q19+Q20+Q21+Q22</f>
        <v>27985.05</v>
      </c>
      <c r="L120" s="35" t="s">
        <v>501</v>
      </c>
      <c r="M120" s="35"/>
      <c r="N120" s="35"/>
      <c r="O120" s="35"/>
      <c r="P120" s="35"/>
      <c r="Q120" s="35"/>
      <c r="R120" s="35"/>
      <c r="S120" s="135"/>
    </row>
    <row r="121" spans="1:23" x14ac:dyDescent="0.25">
      <c r="A121" s="34" t="s">
        <v>502</v>
      </c>
      <c r="B121" s="35">
        <v>20000</v>
      </c>
      <c r="D121" s="35"/>
      <c r="I121" s="33" t="s">
        <v>503</v>
      </c>
      <c r="K121" s="86">
        <v>5000</v>
      </c>
      <c r="L121" s="35"/>
      <c r="M121" s="35"/>
      <c r="N121" s="35"/>
      <c r="O121" s="35"/>
      <c r="P121" s="35"/>
      <c r="Q121" s="35"/>
      <c r="R121" s="35"/>
      <c r="S121" s="135"/>
    </row>
    <row r="122" spans="1:23" x14ac:dyDescent="0.25">
      <c r="A122" s="34" t="s">
        <v>504</v>
      </c>
      <c r="B122" s="35">
        <v>10000</v>
      </c>
      <c r="D122" s="131">
        <v>45737</v>
      </c>
      <c r="E122" s="34" t="s">
        <v>505</v>
      </c>
      <c r="I122" s="34" t="s">
        <v>506</v>
      </c>
      <c r="K122" s="86">
        <v>150000</v>
      </c>
      <c r="L122" s="35" t="s">
        <v>507</v>
      </c>
      <c r="M122" s="35"/>
      <c r="N122" s="35"/>
      <c r="O122" s="35"/>
      <c r="P122" s="35"/>
      <c r="Q122" s="35"/>
      <c r="R122" s="35"/>
      <c r="S122" s="135"/>
    </row>
    <row r="123" spans="1:23" x14ac:dyDescent="0.25">
      <c r="A123" s="34" t="s">
        <v>508</v>
      </c>
      <c r="B123" s="35">
        <v>5000</v>
      </c>
      <c r="D123" s="131">
        <v>45726</v>
      </c>
      <c r="E123" s="34" t="s">
        <v>509</v>
      </c>
      <c r="I123" s="34" t="s">
        <v>510</v>
      </c>
      <c r="K123" s="86">
        <v>75</v>
      </c>
      <c r="L123" s="35"/>
      <c r="M123" s="35"/>
      <c r="N123" s="35"/>
      <c r="O123" s="35"/>
      <c r="P123" s="35"/>
      <c r="Q123" s="35"/>
      <c r="R123" s="35"/>
    </row>
    <row r="124" spans="1:23" x14ac:dyDescent="0.25">
      <c r="A124" s="33" t="s">
        <v>511</v>
      </c>
      <c r="B124" s="36">
        <v>10000</v>
      </c>
      <c r="C124" s="36"/>
      <c r="D124" s="131">
        <v>45726</v>
      </c>
      <c r="E124" s="34" t="s">
        <v>509</v>
      </c>
      <c r="I124" s="34" t="s">
        <v>512</v>
      </c>
      <c r="K124" s="86">
        <f>O81</f>
        <v>175</v>
      </c>
      <c r="L124" s="35" t="s">
        <v>501</v>
      </c>
      <c r="M124" s="35"/>
      <c r="N124" s="35"/>
      <c r="O124" s="35"/>
      <c r="P124" s="35"/>
      <c r="Q124" s="35"/>
      <c r="R124" s="35"/>
    </row>
    <row r="125" spans="1:23" x14ac:dyDescent="0.25">
      <c r="A125" s="33" t="s">
        <v>513</v>
      </c>
      <c r="B125" s="36">
        <v>5000</v>
      </c>
      <c r="C125" s="36"/>
      <c r="D125" s="35"/>
      <c r="I125" s="34" t="s">
        <v>514</v>
      </c>
      <c r="K125" s="86">
        <v>316.29000000000002</v>
      </c>
      <c r="L125" s="35"/>
      <c r="M125" s="35"/>
      <c r="N125" s="35"/>
      <c r="O125" s="35"/>
      <c r="P125" s="35"/>
      <c r="Q125" s="35"/>
      <c r="R125" s="35"/>
    </row>
    <row r="126" spans="1:23" x14ac:dyDescent="0.25">
      <c r="A126" s="134" t="s">
        <v>437</v>
      </c>
      <c r="C126" s="113">
        <f>SUM(B117:B124)</f>
        <v>243985.05</v>
      </c>
      <c r="D126" s="35"/>
      <c r="K126" s="86"/>
      <c r="L126" s="35"/>
      <c r="M126" s="35"/>
      <c r="N126" s="35"/>
      <c r="O126" s="35"/>
      <c r="P126" s="35"/>
      <c r="Q126" s="35"/>
      <c r="R126" s="35"/>
    </row>
    <row r="127" spans="1:23" x14ac:dyDescent="0.25">
      <c r="D127" s="35"/>
      <c r="K127" s="86"/>
      <c r="L127" s="35"/>
      <c r="M127" s="35"/>
      <c r="N127" s="35"/>
      <c r="O127" s="35"/>
      <c r="P127" s="35"/>
      <c r="Q127" s="35"/>
      <c r="R127" s="35"/>
    </row>
    <row r="128" spans="1:23" x14ac:dyDescent="0.25">
      <c r="D128" s="35"/>
      <c r="I128" s="217"/>
      <c r="J128" s="217"/>
      <c r="K128" s="86"/>
      <c r="L128" s="35"/>
      <c r="M128" s="35"/>
      <c r="N128" s="35"/>
      <c r="O128" s="35"/>
      <c r="P128" s="35"/>
      <c r="Q128" s="35"/>
      <c r="R128" s="35"/>
    </row>
    <row r="129" spans="1:18" x14ac:dyDescent="0.25">
      <c r="D129" s="35"/>
      <c r="I129" s="217"/>
      <c r="J129" s="217"/>
      <c r="K129" s="86">
        <f>SUM(K110:K128)</f>
        <v>806561.80000000016</v>
      </c>
      <c r="L129" s="35"/>
      <c r="M129" s="35"/>
      <c r="N129" s="35"/>
      <c r="O129" s="35"/>
      <c r="P129" s="35"/>
      <c r="Q129" s="35"/>
      <c r="R129" s="35"/>
    </row>
    <row r="130" spans="1:18" ht="15" x14ac:dyDescent="0.25">
      <c r="A130" s="50" t="s">
        <v>438</v>
      </c>
      <c r="D130" s="131">
        <v>45761</v>
      </c>
      <c r="E130" s="34" t="s">
        <v>515</v>
      </c>
      <c r="I130" s="217"/>
      <c r="J130" s="217"/>
      <c r="K130" s="35"/>
      <c r="L130" s="35"/>
      <c r="M130" s="35"/>
      <c r="N130" s="35"/>
      <c r="O130" s="35"/>
      <c r="P130" s="35"/>
      <c r="Q130" s="35"/>
      <c r="R130" s="35"/>
    </row>
    <row r="131" spans="1:18" x14ac:dyDescent="0.25">
      <c r="A131" s="34" t="s">
        <v>516</v>
      </c>
      <c r="B131" s="35">
        <v>2575</v>
      </c>
      <c r="D131" s="131"/>
      <c r="I131" s="133"/>
      <c r="J131" s="35"/>
      <c r="K131" s="35"/>
      <c r="L131" s="35"/>
      <c r="M131" s="35"/>
      <c r="N131" s="35"/>
      <c r="O131" s="35"/>
      <c r="P131" s="35"/>
      <c r="Q131" s="35"/>
      <c r="R131" s="35"/>
    </row>
    <row r="132" spans="1:18" x14ac:dyDescent="0.25">
      <c r="A132" s="34" t="s">
        <v>517</v>
      </c>
      <c r="B132" s="35">
        <v>2575</v>
      </c>
      <c r="D132" s="35"/>
      <c r="I132" s="133"/>
      <c r="J132" s="35"/>
      <c r="K132" s="35"/>
      <c r="L132" s="35"/>
      <c r="M132" s="35"/>
      <c r="N132" s="35"/>
      <c r="O132" s="35"/>
      <c r="P132" s="35"/>
      <c r="Q132" s="35"/>
      <c r="R132" s="35"/>
    </row>
    <row r="133" spans="1:18" x14ac:dyDescent="0.25">
      <c r="A133" s="34" t="s">
        <v>518</v>
      </c>
      <c r="B133" s="35">
        <v>2575</v>
      </c>
      <c r="D133" s="35"/>
      <c r="I133" s="133"/>
      <c r="J133" s="35"/>
      <c r="K133" s="35"/>
      <c r="L133" s="35"/>
      <c r="M133" s="35"/>
      <c r="N133" s="35"/>
      <c r="O133" s="35"/>
      <c r="P133" s="35"/>
      <c r="Q133" s="35"/>
      <c r="R133" s="35"/>
    </row>
    <row r="134" spans="1:18" x14ac:dyDescent="0.25">
      <c r="A134" s="34" t="s">
        <v>519</v>
      </c>
      <c r="B134" s="35">
        <v>772.5</v>
      </c>
      <c r="D134" s="35"/>
      <c r="I134" s="133"/>
      <c r="J134" s="35"/>
      <c r="K134" s="35"/>
      <c r="L134" s="35"/>
      <c r="M134" s="35"/>
      <c r="N134" s="35"/>
      <c r="O134" s="35"/>
      <c r="P134" s="35"/>
      <c r="Q134" s="35"/>
      <c r="R134" s="35"/>
    </row>
    <row r="135" spans="1:18" x14ac:dyDescent="0.25">
      <c r="A135" s="34" t="s">
        <v>520</v>
      </c>
      <c r="B135" s="35">
        <v>3502</v>
      </c>
      <c r="D135" s="35"/>
      <c r="I135" s="133"/>
      <c r="J135" s="35"/>
      <c r="K135" s="35"/>
      <c r="L135" s="35"/>
      <c r="M135" s="35"/>
      <c r="N135" s="35"/>
      <c r="O135" s="35"/>
      <c r="P135" s="35"/>
      <c r="Q135" s="35"/>
      <c r="R135" s="35"/>
    </row>
    <row r="136" spans="1:18" x14ac:dyDescent="0.25">
      <c r="A136" s="34" t="s">
        <v>521</v>
      </c>
      <c r="B136" s="35">
        <v>2575</v>
      </c>
      <c r="D136" s="35"/>
      <c r="I136" s="133"/>
      <c r="K136" s="84"/>
      <c r="L136" s="134" t="s">
        <v>522</v>
      </c>
      <c r="M136" s="35">
        <v>2575</v>
      </c>
      <c r="N136" s="131">
        <v>45707</v>
      </c>
      <c r="O136" s="35"/>
      <c r="P136" s="35"/>
      <c r="Q136" s="35"/>
      <c r="R136" s="35"/>
    </row>
    <row r="137" spans="1:18" x14ac:dyDescent="0.25">
      <c r="A137" s="34" t="s">
        <v>523</v>
      </c>
      <c r="B137" s="35">
        <v>772.5</v>
      </c>
      <c r="D137" s="35"/>
      <c r="I137" s="132"/>
      <c r="J137" s="35"/>
      <c r="L137" s="134" t="s">
        <v>524</v>
      </c>
      <c r="M137" s="35">
        <v>2575</v>
      </c>
      <c r="N137" s="131">
        <v>45734</v>
      </c>
      <c r="O137" s="35"/>
      <c r="P137" s="35"/>
      <c r="Q137" s="35"/>
      <c r="R137" s="35"/>
    </row>
    <row r="138" spans="1:18" x14ac:dyDescent="0.25">
      <c r="A138" s="34" t="s">
        <v>525</v>
      </c>
      <c r="B138" s="35">
        <v>2575</v>
      </c>
      <c r="D138" s="35"/>
      <c r="J138" s="35"/>
      <c r="L138" s="134" t="s">
        <v>519</v>
      </c>
      <c r="M138" s="35">
        <v>772.5</v>
      </c>
      <c r="N138" s="131">
        <v>45734</v>
      </c>
      <c r="O138" s="35"/>
      <c r="P138" s="35"/>
    </row>
    <row r="139" spans="1:18" x14ac:dyDescent="0.25">
      <c r="A139" s="34" t="s">
        <v>526</v>
      </c>
      <c r="B139" s="35">
        <v>2781</v>
      </c>
      <c r="D139" s="35"/>
      <c r="J139" s="35"/>
      <c r="L139" s="134" t="s">
        <v>527</v>
      </c>
      <c r="M139" s="35">
        <v>3296</v>
      </c>
      <c r="N139" s="131">
        <v>45736</v>
      </c>
      <c r="O139" s="35"/>
      <c r="P139" s="35"/>
      <c r="Q139" s="86"/>
      <c r="R139" s="86"/>
    </row>
    <row r="140" spans="1:18" x14ac:dyDescent="0.25">
      <c r="A140" s="34" t="s">
        <v>528</v>
      </c>
      <c r="B140" s="35">
        <v>2575</v>
      </c>
      <c r="D140" s="35"/>
      <c r="J140" s="35"/>
      <c r="L140" s="134" t="s">
        <v>529</v>
      </c>
      <c r="M140" s="35">
        <v>0</v>
      </c>
      <c r="N140" s="135">
        <v>45736</v>
      </c>
      <c r="O140" s="35"/>
      <c r="P140" s="35"/>
      <c r="Q140" s="86"/>
      <c r="R140" s="86"/>
    </row>
    <row r="141" spans="1:18" x14ac:dyDescent="0.25">
      <c r="A141" s="34" t="s">
        <v>530</v>
      </c>
      <c r="B141" s="35">
        <v>0</v>
      </c>
      <c r="D141" s="35"/>
      <c r="J141" s="35"/>
      <c r="L141" s="134" t="s">
        <v>525</v>
      </c>
      <c r="M141" s="35">
        <v>2575</v>
      </c>
      <c r="N141" s="131">
        <v>45736</v>
      </c>
      <c r="O141" s="35"/>
      <c r="P141" s="35"/>
      <c r="Q141" s="86"/>
      <c r="R141" s="135"/>
    </row>
    <row r="142" spans="1:18" x14ac:dyDescent="0.25">
      <c r="A142" s="34" t="s">
        <v>531</v>
      </c>
      <c r="B142" s="35">
        <v>0</v>
      </c>
      <c r="D142" s="35"/>
      <c r="J142" s="35"/>
      <c r="L142" s="134" t="s">
        <v>532</v>
      </c>
      <c r="M142" s="35">
        <v>3502</v>
      </c>
      <c r="N142" s="131">
        <v>45744</v>
      </c>
      <c r="O142" s="35"/>
      <c r="P142" s="35"/>
      <c r="Q142" s="86"/>
      <c r="R142" s="135"/>
    </row>
    <row r="143" spans="1:18" x14ac:dyDescent="0.25">
      <c r="A143" s="34" t="s">
        <v>533</v>
      </c>
      <c r="B143" s="35">
        <v>2575</v>
      </c>
      <c r="D143" s="35"/>
      <c r="J143" s="84"/>
      <c r="K143" s="84"/>
      <c r="L143" s="134" t="s">
        <v>534</v>
      </c>
      <c r="M143" s="35">
        <v>0</v>
      </c>
      <c r="N143" s="135">
        <v>45741</v>
      </c>
      <c r="O143" s="35"/>
      <c r="P143" s="35"/>
      <c r="Q143" s="86"/>
      <c r="R143" s="135"/>
    </row>
    <row r="144" spans="1:18" x14ac:dyDescent="0.25">
      <c r="A144" s="34" t="s">
        <v>535</v>
      </c>
      <c r="B144" s="35">
        <v>3296</v>
      </c>
      <c r="D144" s="35"/>
      <c r="J144" s="84"/>
      <c r="L144" s="134" t="s">
        <v>523</v>
      </c>
      <c r="M144" s="35">
        <v>772.5</v>
      </c>
      <c r="N144" s="131">
        <v>45761</v>
      </c>
      <c r="O144" s="35"/>
      <c r="P144" s="35"/>
      <c r="Q144" s="86"/>
      <c r="R144" s="135"/>
    </row>
    <row r="145" spans="1:18" x14ac:dyDescent="0.25">
      <c r="A145" s="34" t="s">
        <v>536</v>
      </c>
      <c r="B145" s="35">
        <v>3296</v>
      </c>
      <c r="H145" s="35"/>
      <c r="J145" s="84"/>
      <c r="L145" s="134" t="s">
        <v>537</v>
      </c>
      <c r="M145" s="35">
        <v>3296</v>
      </c>
      <c r="N145" s="131">
        <v>45757</v>
      </c>
      <c r="O145" s="35"/>
      <c r="P145" s="35"/>
      <c r="Q145" s="86"/>
      <c r="R145" s="135"/>
    </row>
    <row r="146" spans="1:18" x14ac:dyDescent="0.25">
      <c r="A146" s="34" t="s">
        <v>532</v>
      </c>
      <c r="B146" s="35">
        <v>3502</v>
      </c>
      <c r="D146" s="35"/>
      <c r="H146" s="35"/>
      <c r="J146" s="84"/>
      <c r="K146" s="84"/>
      <c r="L146" s="134" t="s">
        <v>528</v>
      </c>
      <c r="M146" s="35">
        <v>2575</v>
      </c>
      <c r="N146" s="131">
        <v>45755</v>
      </c>
      <c r="O146" s="35"/>
      <c r="P146" s="86"/>
      <c r="Q146" s="86"/>
      <c r="R146" s="135"/>
    </row>
    <row r="147" spans="1:18" x14ac:dyDescent="0.25">
      <c r="A147" s="134" t="s">
        <v>437</v>
      </c>
      <c r="C147" s="35">
        <f>SUM(B131:B146)</f>
        <v>35947</v>
      </c>
      <c r="H147" s="35"/>
      <c r="L147" s="134" t="s">
        <v>518</v>
      </c>
      <c r="M147" s="35">
        <v>2575</v>
      </c>
      <c r="N147" s="131">
        <v>45755</v>
      </c>
      <c r="O147" s="35"/>
      <c r="P147" s="86"/>
      <c r="Q147" s="86"/>
      <c r="R147" s="135"/>
    </row>
    <row r="148" spans="1:18" x14ac:dyDescent="0.25">
      <c r="H148" s="35"/>
      <c r="L148" s="134" t="s">
        <v>520</v>
      </c>
      <c r="M148" s="35">
        <v>3502</v>
      </c>
      <c r="N148" s="131">
        <v>45775</v>
      </c>
      <c r="O148" s="35"/>
      <c r="P148" s="86"/>
      <c r="Q148" s="86"/>
      <c r="R148" s="135"/>
    </row>
    <row r="149" spans="1:18" x14ac:dyDescent="0.25">
      <c r="H149" s="35"/>
      <c r="L149" s="134" t="s">
        <v>538</v>
      </c>
      <c r="M149" s="35">
        <v>2575</v>
      </c>
      <c r="N149" s="131">
        <v>45784</v>
      </c>
      <c r="O149" s="35"/>
      <c r="P149" s="86"/>
      <c r="Q149" s="135"/>
    </row>
    <row r="150" spans="1:18" x14ac:dyDescent="0.25">
      <c r="A150" s="33" t="s">
        <v>198</v>
      </c>
      <c r="B150" s="36">
        <f>SUM(B105:B146)</f>
        <v>783677.05</v>
      </c>
      <c r="C150" s="36"/>
      <c r="H150" s="35"/>
      <c r="K150" s="35"/>
      <c r="L150" s="134" t="s">
        <v>526</v>
      </c>
      <c r="M150" s="86">
        <v>2781</v>
      </c>
      <c r="N150" s="131">
        <v>45784</v>
      </c>
      <c r="O150" s="35"/>
      <c r="P150" s="86"/>
      <c r="Q150" s="135"/>
    </row>
    <row r="151" spans="1:18" x14ac:dyDescent="0.25">
      <c r="A151" s="33"/>
      <c r="B151" s="36"/>
      <c r="C151" s="36"/>
      <c r="K151" s="35"/>
      <c r="L151" s="134" t="s">
        <v>539</v>
      </c>
      <c r="M151" s="86">
        <v>2575</v>
      </c>
      <c r="N151" s="131">
        <v>45800</v>
      </c>
      <c r="O151" s="35"/>
      <c r="P151" s="86"/>
      <c r="Q151" s="135"/>
    </row>
    <row r="152" spans="1:18" ht="15" x14ac:dyDescent="0.25">
      <c r="A152" s="50" t="s">
        <v>199</v>
      </c>
      <c r="B152" s="51">
        <f>SUM(B105:B146)</f>
        <v>783677.05</v>
      </c>
      <c r="C152" s="51"/>
      <c r="K152" s="35"/>
      <c r="L152" s="134"/>
      <c r="M152" s="86"/>
      <c r="N152" s="131"/>
      <c r="Q152" s="135"/>
    </row>
    <row r="153" spans="1:18" x14ac:dyDescent="0.25">
      <c r="A153" s="33"/>
      <c r="B153" s="36"/>
      <c r="C153" s="36"/>
      <c r="K153" s="35"/>
      <c r="L153" s="134"/>
      <c r="M153" s="86">
        <f>SUM(M136:M152)</f>
        <v>35947</v>
      </c>
      <c r="N153" s="131"/>
      <c r="Q153" s="135"/>
    </row>
    <row r="154" spans="1:18" x14ac:dyDescent="0.25">
      <c r="K154" s="35"/>
      <c r="L154" s="134"/>
      <c r="M154" s="86"/>
      <c r="N154" s="131"/>
      <c r="Q154" s="135"/>
    </row>
    <row r="155" spans="1:18" x14ac:dyDescent="0.25">
      <c r="K155" s="35"/>
      <c r="L155" s="134"/>
      <c r="N155" s="131"/>
    </row>
    <row r="167" spans="1:18" x14ac:dyDescent="0.25">
      <c r="J167" s="86"/>
      <c r="K167" s="86"/>
    </row>
    <row r="168" spans="1:18" x14ac:dyDescent="0.25">
      <c r="J168" s="86"/>
      <c r="K168" s="86"/>
      <c r="N168" s="86"/>
      <c r="O168" s="86"/>
      <c r="P168" s="86"/>
    </row>
    <row r="169" spans="1:18" x14ac:dyDescent="0.25">
      <c r="J169" s="86"/>
      <c r="K169" s="86"/>
      <c r="L169" s="86"/>
      <c r="M169" s="86"/>
      <c r="N169" s="86"/>
      <c r="O169" s="86"/>
      <c r="P169" s="86"/>
    </row>
    <row r="170" spans="1:18" x14ac:dyDescent="0.25">
      <c r="J170" s="86"/>
      <c r="K170" s="86"/>
      <c r="L170" s="86"/>
      <c r="M170" s="86"/>
      <c r="N170" s="86"/>
      <c r="O170" s="86"/>
      <c r="P170" s="86"/>
      <c r="Q170" s="86"/>
      <c r="R170" s="86"/>
    </row>
    <row r="171" spans="1:18" x14ac:dyDescent="0.25">
      <c r="Q171" s="86"/>
      <c r="R171" s="86"/>
    </row>
    <row r="172" spans="1:18" x14ac:dyDescent="0.25">
      <c r="Q172" s="86"/>
      <c r="R172" s="86"/>
    </row>
    <row r="173" spans="1:18" x14ac:dyDescent="0.25">
      <c r="Q173" s="86"/>
      <c r="R173" s="86"/>
    </row>
    <row r="174" spans="1:18" x14ac:dyDescent="0.25">
      <c r="A174" s="134"/>
    </row>
    <row r="175" spans="1:18" x14ac:dyDescent="0.25">
      <c r="A175" s="134" t="s">
        <v>11</v>
      </c>
      <c r="B175" s="35">
        <v>119638.88</v>
      </c>
      <c r="C175" s="35">
        <v>5459.05</v>
      </c>
      <c r="N175" s="35">
        <f>SUM(B175:M175)</f>
        <v>125097.93000000001</v>
      </c>
    </row>
    <row r="176" spans="1:18" x14ac:dyDescent="0.25">
      <c r="A176" s="134" t="s">
        <v>540</v>
      </c>
      <c r="B176" s="35">
        <v>53412.5</v>
      </c>
      <c r="C176" s="35">
        <v>1125</v>
      </c>
      <c r="N176" s="35">
        <f t="shared" ref="N176:N195" si="38">SUM(B176:M176)</f>
        <v>54537.5</v>
      </c>
    </row>
    <row r="177" spans="1:14" x14ac:dyDescent="0.25">
      <c r="A177" s="134" t="s">
        <v>541</v>
      </c>
      <c r="B177" s="35">
        <v>27858.75</v>
      </c>
      <c r="C177" s="35">
        <v>1768.91</v>
      </c>
      <c r="N177" s="35">
        <f t="shared" si="38"/>
        <v>29627.66</v>
      </c>
    </row>
    <row r="178" spans="1:14" x14ac:dyDescent="0.25">
      <c r="A178" s="134" t="s">
        <v>177</v>
      </c>
      <c r="B178" s="35">
        <v>4903.25</v>
      </c>
      <c r="C178" s="35">
        <v>4396.75</v>
      </c>
      <c r="N178" s="35">
        <f t="shared" si="38"/>
        <v>9300</v>
      </c>
    </row>
    <row r="179" spans="1:14" x14ac:dyDescent="0.25">
      <c r="A179" s="134" t="s">
        <v>542</v>
      </c>
      <c r="B179" s="35">
        <v>2002.53</v>
      </c>
      <c r="C179" s="35">
        <v>0</v>
      </c>
      <c r="N179" s="35">
        <f t="shared" si="38"/>
        <v>2002.53</v>
      </c>
    </row>
    <row r="180" spans="1:14" x14ac:dyDescent="0.25">
      <c r="A180" s="134" t="s">
        <v>543</v>
      </c>
      <c r="B180" s="35">
        <v>25000</v>
      </c>
      <c r="C180" s="35">
        <v>0</v>
      </c>
      <c r="N180" s="35">
        <f t="shared" si="38"/>
        <v>25000</v>
      </c>
    </row>
    <row r="181" spans="1:14" x14ac:dyDescent="0.25">
      <c r="A181" s="134" t="s">
        <v>544</v>
      </c>
      <c r="B181" s="35">
        <v>1930</v>
      </c>
      <c r="C181" s="35">
        <v>0</v>
      </c>
      <c r="N181" s="35">
        <f t="shared" si="38"/>
        <v>1930</v>
      </c>
    </row>
    <row r="182" spans="1:14" x14ac:dyDescent="0.25">
      <c r="A182" s="134" t="s">
        <v>545</v>
      </c>
      <c r="B182" s="35">
        <v>360</v>
      </c>
      <c r="C182" s="35">
        <v>247.5</v>
      </c>
      <c r="N182" s="35">
        <f t="shared" si="38"/>
        <v>607.5</v>
      </c>
    </row>
    <row r="183" spans="1:14" x14ac:dyDescent="0.25">
      <c r="A183" s="134" t="s">
        <v>105</v>
      </c>
      <c r="B183" s="35">
        <f>1533.06+3757.6+4208.4+4134+3382.2+4409.6+4208.4+12024+42008.85+3582.15+64883+5097.95+42008.85+3582.15</f>
        <v>198820.21000000002</v>
      </c>
      <c r="C183" s="35">
        <f>2616.6+40.59+1260.99-106.65+36.17+259.63+1450.9+9615.81-3890.24+367.97-1830.56+523.37-7116.17+367.97+2848.64+2266.25+3620.94+2481.48+705.51</f>
        <v>15519.2</v>
      </c>
      <c r="N183" s="35">
        <f t="shared" si="38"/>
        <v>214339.41000000003</v>
      </c>
    </row>
    <row r="184" spans="1:14" x14ac:dyDescent="0.25">
      <c r="A184" s="134" t="s">
        <v>546</v>
      </c>
      <c r="B184" s="35">
        <v>1758.51</v>
      </c>
      <c r="C184" s="35">
        <v>19.04</v>
      </c>
      <c r="N184" s="35">
        <f t="shared" si="38"/>
        <v>1777.55</v>
      </c>
    </row>
    <row r="185" spans="1:14" x14ac:dyDescent="0.25">
      <c r="A185" s="134" t="s">
        <v>547</v>
      </c>
      <c r="C185" s="35">
        <f>1375</f>
        <v>1375</v>
      </c>
      <c r="N185" s="35">
        <f t="shared" si="38"/>
        <v>1375</v>
      </c>
    </row>
    <row r="186" spans="1:14" x14ac:dyDescent="0.25">
      <c r="A186" s="134" t="s">
        <v>548</v>
      </c>
      <c r="C186" s="35">
        <v>175</v>
      </c>
      <c r="N186" s="35">
        <f t="shared" si="38"/>
        <v>175</v>
      </c>
    </row>
    <row r="187" spans="1:14" x14ac:dyDescent="0.25">
      <c r="A187" s="134" t="s">
        <v>549</v>
      </c>
      <c r="C187" s="35">
        <f>640</f>
        <v>640</v>
      </c>
      <c r="N187" s="35">
        <f t="shared" si="38"/>
        <v>640</v>
      </c>
    </row>
    <row r="188" spans="1:14" x14ac:dyDescent="0.25">
      <c r="A188" s="134" t="s">
        <v>550</v>
      </c>
      <c r="C188" s="35">
        <v>-139</v>
      </c>
      <c r="N188" s="35">
        <f t="shared" si="38"/>
        <v>-139</v>
      </c>
    </row>
    <row r="189" spans="1:14" x14ac:dyDescent="0.25">
      <c r="A189" s="134" t="s">
        <v>551</v>
      </c>
      <c r="C189" s="35">
        <v>5400</v>
      </c>
      <c r="N189" s="35">
        <f t="shared" si="38"/>
        <v>5400</v>
      </c>
    </row>
    <row r="190" spans="1:14" x14ac:dyDescent="0.25">
      <c r="A190" s="134" t="s">
        <v>478</v>
      </c>
      <c r="C190" s="35">
        <v>6000</v>
      </c>
      <c r="N190" s="35">
        <f t="shared" si="38"/>
        <v>6000</v>
      </c>
    </row>
    <row r="191" spans="1:14" x14ac:dyDescent="0.25">
      <c r="A191" s="134" t="s">
        <v>552</v>
      </c>
      <c r="C191" s="35">
        <f>57891.6-10793.25-11786.58</f>
        <v>35311.769999999997</v>
      </c>
      <c r="N191" s="35">
        <f t="shared" si="38"/>
        <v>35311.769999999997</v>
      </c>
    </row>
    <row r="192" spans="1:14" x14ac:dyDescent="0.25">
      <c r="A192" s="134" t="s">
        <v>268</v>
      </c>
      <c r="C192" s="35">
        <v>-497.25</v>
      </c>
      <c r="N192" s="35">
        <f t="shared" si="38"/>
        <v>-497.25</v>
      </c>
    </row>
    <row r="193" spans="1:14" x14ac:dyDescent="0.25">
      <c r="A193" s="134"/>
      <c r="N193" s="35">
        <f t="shared" si="38"/>
        <v>0</v>
      </c>
    </row>
    <row r="194" spans="1:14" x14ac:dyDescent="0.25">
      <c r="A194" s="134"/>
      <c r="N194" s="35">
        <f t="shared" si="38"/>
        <v>0</v>
      </c>
    </row>
    <row r="195" spans="1:14" x14ac:dyDescent="0.25">
      <c r="A195" s="134"/>
      <c r="B195" s="35">
        <f>SUM(B175:B187)</f>
        <v>435684.63</v>
      </c>
      <c r="C195" s="35">
        <f>SUM(C175:C192)</f>
        <v>76800.97</v>
      </c>
      <c r="N195" s="35">
        <f t="shared" si="38"/>
        <v>512485.6</v>
      </c>
    </row>
    <row r="196" spans="1:14" x14ac:dyDescent="0.25">
      <c r="A196" s="134"/>
    </row>
    <row r="197" spans="1:14" x14ac:dyDescent="0.25">
      <c r="A197" s="134"/>
    </row>
    <row r="198" spans="1:14" x14ac:dyDescent="0.25">
      <c r="A198" s="134"/>
    </row>
    <row r="199" spans="1:14" x14ac:dyDescent="0.25">
      <c r="A199" s="134"/>
    </row>
    <row r="200" spans="1:14" x14ac:dyDescent="0.25">
      <c r="A200" s="134"/>
    </row>
    <row r="201" spans="1:14" x14ac:dyDescent="0.25">
      <c r="A201" s="134"/>
    </row>
    <row r="202" spans="1:14" x14ac:dyDescent="0.25">
      <c r="A202" s="134"/>
    </row>
    <row r="203" spans="1:14" x14ac:dyDescent="0.25">
      <c r="A203" s="134"/>
    </row>
    <row r="204" spans="1:14" x14ac:dyDescent="0.25">
      <c r="A204" s="134"/>
    </row>
    <row r="205" spans="1:14" x14ac:dyDescent="0.25">
      <c r="A205" s="134"/>
    </row>
  </sheetData>
  <sortState xmlns:xlrd2="http://schemas.microsoft.com/office/spreadsheetml/2017/richdata2" ref="A84:A89">
    <sortCondition ref="A84:A89"/>
  </sortState>
  <mergeCells count="19">
    <mergeCell ref="I96:S96"/>
    <mergeCell ref="X107:Z107"/>
    <mergeCell ref="D105:G105"/>
    <mergeCell ref="D106:G106"/>
    <mergeCell ref="D115:G115"/>
    <mergeCell ref="K106:L106"/>
    <mergeCell ref="I110:J110"/>
    <mergeCell ref="I111:J111"/>
    <mergeCell ref="I112:J112"/>
    <mergeCell ref="I129:J129"/>
    <mergeCell ref="I130:J130"/>
    <mergeCell ref="I119:J119"/>
    <mergeCell ref="I113:J113"/>
    <mergeCell ref="I114:J114"/>
    <mergeCell ref="I115:J115"/>
    <mergeCell ref="I128:J128"/>
    <mergeCell ref="I116:J116"/>
    <mergeCell ref="I117:J117"/>
    <mergeCell ref="I118:J118"/>
  </mergeCells>
  <pageMargins left="0.25" right="0.25" top="0.75" bottom="0.75" header="0.3" footer="0.3"/>
  <pageSetup scale="23"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6F99A2-4432-43EC-83A4-940D36440F50}">
  <dimension ref="A2:N66"/>
  <sheetViews>
    <sheetView workbookViewId="0">
      <selection activeCell="F45" sqref="F45"/>
    </sheetView>
  </sheetViews>
  <sheetFormatPr defaultColWidth="8.88671875" defaultRowHeight="15" x14ac:dyDescent="0.25"/>
  <cols>
    <col min="1" max="1" width="66.5546875" style="31" bestFit="1" customWidth="1"/>
    <col min="2" max="3" width="14" style="97" bestFit="1" customWidth="1"/>
    <col min="4" max="4" width="15.44140625" style="97" bestFit="1" customWidth="1"/>
    <col min="5" max="5" width="14.109375" style="97" bestFit="1" customWidth="1"/>
    <col min="6" max="6" width="8.88671875" style="97"/>
    <col min="7" max="7" width="36.5546875" style="97" bestFit="1" customWidth="1"/>
    <col min="8" max="9" width="14.44140625" style="97" bestFit="1" customWidth="1"/>
    <col min="10" max="10" width="17.44140625" style="97" bestFit="1" customWidth="1"/>
    <col min="11" max="11" width="13.44140625" style="97" bestFit="1" customWidth="1"/>
    <col min="12" max="12" width="12.109375" style="31" bestFit="1" customWidth="1"/>
    <col min="13" max="13" width="33" style="31" bestFit="1" customWidth="1"/>
    <col min="14" max="14" width="11" style="97" bestFit="1" customWidth="1"/>
    <col min="15" max="16384" width="8.88671875" style="31"/>
  </cols>
  <sheetData>
    <row r="2" spans="1:10" ht="30" x14ac:dyDescent="0.25">
      <c r="H2" s="104" t="s">
        <v>206</v>
      </c>
      <c r="I2" s="104" t="s">
        <v>207</v>
      </c>
      <c r="J2" s="104" t="s">
        <v>208</v>
      </c>
    </row>
    <row r="3" spans="1:10" x14ac:dyDescent="0.25">
      <c r="A3" s="96" t="s">
        <v>160</v>
      </c>
      <c r="D3" s="97">
        <f>SUM(C4:C6)</f>
        <v>729973.13550000009</v>
      </c>
      <c r="G3" s="103" t="str">
        <f>'2025 Details'!A2</f>
        <v>COMMUNICATIONS - FARRAH</v>
      </c>
      <c r="H3" s="57">
        <f>SUM('2025 Details'!B3:B12)</f>
        <v>48345.93</v>
      </c>
      <c r="I3" s="57">
        <f>SUM('2025 Details'!Q3:Q12)</f>
        <v>48345.93</v>
      </c>
      <c r="J3" s="57">
        <f t="shared" ref="J3:J16" si="0">H3-I3</f>
        <v>0</v>
      </c>
    </row>
    <row r="4" spans="1:10" x14ac:dyDescent="0.25">
      <c r="A4" s="98" t="s">
        <v>201</v>
      </c>
      <c r="C4" s="99">
        <f>'2025 Details'!Q92</f>
        <v>672786.3</v>
      </c>
      <c r="G4" s="103" t="str">
        <f>'2025 Details'!A13</f>
        <v>CVENT - SARAH BELD</v>
      </c>
      <c r="H4" s="57">
        <f>SUM('2025 Details'!B14:B17)</f>
        <v>25565.32</v>
      </c>
      <c r="I4" s="57">
        <f>SUM('2025 Details'!Q14:Q17)</f>
        <v>22715.320000000003</v>
      </c>
      <c r="J4" s="57">
        <f t="shared" si="0"/>
        <v>2849.9999999999964</v>
      </c>
    </row>
    <row r="5" spans="1:10" x14ac:dyDescent="0.25">
      <c r="A5" s="98" t="s">
        <v>209</v>
      </c>
      <c r="C5" s="99">
        <f>C4*8.5%</f>
        <v>57186.835500000008</v>
      </c>
      <c r="G5" s="103" t="str">
        <f>'2025 Details'!A18</f>
        <v>DISNEY INSTITUTE - Dr. HOUSTON</v>
      </c>
      <c r="H5" s="57">
        <f>SUM('2025 Details'!B19:B22)</f>
        <v>27985.05</v>
      </c>
      <c r="I5" s="57">
        <f>SUM('2025 Details'!Q19:Q22)</f>
        <v>27985.05</v>
      </c>
      <c r="J5" s="57">
        <f t="shared" si="0"/>
        <v>0</v>
      </c>
    </row>
    <row r="6" spans="1:10" x14ac:dyDescent="0.25">
      <c r="A6" s="98" t="s">
        <v>210</v>
      </c>
      <c r="C6" s="99">
        <f>(C8+C19)*3%</f>
        <v>0</v>
      </c>
      <c r="G6" s="103" t="str">
        <f>'2025 Details'!A23</f>
        <v>EXHIBITORS - JAMES</v>
      </c>
      <c r="H6" s="57">
        <f>SUM('2025 Details'!B24:B28)</f>
        <v>10350</v>
      </c>
      <c r="I6" s="57">
        <f>SUM('2025 Details'!Q24:Q24)</f>
        <v>9300</v>
      </c>
      <c r="J6" s="57">
        <f t="shared" si="0"/>
        <v>1050</v>
      </c>
    </row>
    <row r="7" spans="1:10" x14ac:dyDescent="0.25">
      <c r="G7" s="103" t="str">
        <f>'2025 Details'!A29</f>
        <v>FISCAL - JUAN</v>
      </c>
      <c r="H7" s="57">
        <f>SUM('2025 Details'!B30:B32)</f>
        <v>187803.19</v>
      </c>
      <c r="I7" s="57">
        <f>SUM('2025 Details'!Q30:Q32)</f>
        <v>208788.52000000002</v>
      </c>
      <c r="J7" s="57">
        <f t="shared" si="0"/>
        <v>-20985.330000000016</v>
      </c>
    </row>
    <row r="8" spans="1:10" x14ac:dyDescent="0.25">
      <c r="A8" s="96" t="s">
        <v>211</v>
      </c>
      <c r="B8" s="99"/>
      <c r="C8" s="99">
        <f>SUM(B9:B17)</f>
        <v>0</v>
      </c>
      <c r="G8" s="103" t="str">
        <f>'2025 Details'!A33</f>
        <v>HOSPITALITY - TESLYN</v>
      </c>
      <c r="H8" s="57">
        <f>SUM('2025 Details'!B34:B39)</f>
        <v>40646.389999999992</v>
      </c>
      <c r="I8" s="57">
        <f>SUM('2025 Details'!Q34:Q39)</f>
        <v>40646.389999999992</v>
      </c>
      <c r="J8" s="57">
        <f t="shared" si="0"/>
        <v>0</v>
      </c>
    </row>
    <row r="9" spans="1:10" x14ac:dyDescent="0.25">
      <c r="A9" s="98" t="s">
        <v>212</v>
      </c>
      <c r="B9" s="99"/>
      <c r="C9" s="99"/>
      <c r="G9" s="103" t="str">
        <f>'2025 Details'!A40</f>
        <v>HOTEL - JUAN</v>
      </c>
      <c r="H9" s="57">
        <f>SUM('2025 Details'!B41:B47)</f>
        <v>216754.66999999998</v>
      </c>
      <c r="I9" s="57">
        <f>SUM('2025 Details'!Q41:Q47)</f>
        <v>216754.66999999998</v>
      </c>
      <c r="J9" s="57">
        <f t="shared" si="0"/>
        <v>0</v>
      </c>
    </row>
    <row r="10" spans="1:10" x14ac:dyDescent="0.25">
      <c r="A10" s="98" t="s">
        <v>213</v>
      </c>
      <c r="B10" s="99"/>
      <c r="C10" s="99"/>
      <c r="G10" s="103" t="str">
        <f>'2025 Details'!A48</f>
        <v>PRE-CONFERENCE - GABRIELA</v>
      </c>
      <c r="H10" s="57">
        <f>SUM('2025 Details'!B49)</f>
        <v>0</v>
      </c>
      <c r="I10" s="57">
        <f>SUM('2025 Details'!Q49:Q49)</f>
        <v>0</v>
      </c>
      <c r="J10" s="57">
        <f t="shared" si="0"/>
        <v>0</v>
      </c>
    </row>
    <row r="11" spans="1:10" x14ac:dyDescent="0.25">
      <c r="A11" s="98" t="s">
        <v>214</v>
      </c>
      <c r="B11" s="99"/>
      <c r="C11" s="99"/>
      <c r="G11" s="103" t="str">
        <f>'2025 Details'!A52</f>
        <v>PRESENTERS - EBONI</v>
      </c>
      <c r="H11" s="57">
        <f>SUM('2025 Details'!B53)</f>
        <v>0</v>
      </c>
      <c r="I11" s="57">
        <f>SUM('2025 Details'!Q53:Q53)</f>
        <v>0</v>
      </c>
      <c r="J11" s="57">
        <f t="shared" si="0"/>
        <v>0</v>
      </c>
    </row>
    <row r="12" spans="1:10" x14ac:dyDescent="0.25">
      <c r="A12" s="98" t="s">
        <v>215</v>
      </c>
      <c r="B12" s="99"/>
      <c r="C12" s="99"/>
      <c r="G12" s="103" t="str">
        <f>'2025 Details'!A54</f>
        <v>PRODUCTION - ERIN</v>
      </c>
      <c r="H12" s="57">
        <f>SUM('2025 Details'!B55:B62)</f>
        <v>55949</v>
      </c>
      <c r="I12" s="57">
        <f>SUM('2025 Details'!Q55:Q60)</f>
        <v>51699</v>
      </c>
      <c r="J12" s="57">
        <f t="shared" si="0"/>
        <v>4250</v>
      </c>
    </row>
    <row r="13" spans="1:10" x14ac:dyDescent="0.25">
      <c r="A13" s="98" t="s">
        <v>216</v>
      </c>
      <c r="B13" s="99"/>
      <c r="C13" s="99"/>
      <c r="G13" s="103" t="str">
        <f>'2025 Details'!A63</f>
        <v>REGISTRATION - BEATRICE</v>
      </c>
      <c r="H13" s="57">
        <f>SUM('2025 Details'!B64:B68)</f>
        <v>8545.74</v>
      </c>
      <c r="I13" s="57">
        <f>SUM('2025 Details'!Q6:Q68)</f>
        <v>633591.69000000006</v>
      </c>
      <c r="J13" s="57">
        <f t="shared" si="0"/>
        <v>-625045.95000000007</v>
      </c>
    </row>
    <row r="14" spans="1:10" x14ac:dyDescent="0.25">
      <c r="A14" s="98" t="s">
        <v>217</v>
      </c>
      <c r="B14" s="99"/>
      <c r="C14" s="99"/>
      <c r="G14" s="103" t="str">
        <f>'2025 Details'!A69</f>
        <v>SOCIAL EVENTS - BEATRICE</v>
      </c>
      <c r="H14" s="57">
        <f>SUM('2025 Details'!B70:B76)</f>
        <v>36969.81</v>
      </c>
      <c r="I14" s="57">
        <f>SUM('2025 Details'!Q72:Q76)</f>
        <v>34039.81</v>
      </c>
      <c r="J14" s="57">
        <f t="shared" si="0"/>
        <v>2930</v>
      </c>
    </row>
    <row r="15" spans="1:10" x14ac:dyDescent="0.25">
      <c r="A15" s="98" t="s">
        <v>218</v>
      </c>
      <c r="B15" s="99"/>
      <c r="C15" s="99"/>
      <c r="G15" s="103" t="str">
        <f>'2025 Details'!A77</f>
        <v>STUDENT VOICE - PAUL</v>
      </c>
      <c r="H15" s="57">
        <f>SUM('2025 Details'!B78)</f>
        <v>75</v>
      </c>
      <c r="I15" s="57">
        <f>SUM('2025 Details'!Q78)</f>
        <v>75</v>
      </c>
      <c r="J15" s="57">
        <f t="shared" si="0"/>
        <v>0</v>
      </c>
    </row>
    <row r="16" spans="1:10" x14ac:dyDescent="0.25">
      <c r="A16" s="98" t="s">
        <v>219</v>
      </c>
      <c r="B16" s="99"/>
      <c r="C16" s="99"/>
      <c r="G16" s="103" t="str">
        <f>'2025 Details'!A79</f>
        <v>WELLNESS ROOM - LAURA</v>
      </c>
      <c r="H16" s="57">
        <f>SUM('2025 Details'!B80:B82)</f>
        <v>5385</v>
      </c>
      <c r="I16" s="57">
        <f>SUM('2025 Details'!Q80:Q81)</f>
        <v>175</v>
      </c>
      <c r="J16" s="57">
        <f t="shared" si="0"/>
        <v>5210</v>
      </c>
    </row>
    <row r="17" spans="1:11" ht="15.6" thickBot="1" x14ac:dyDescent="0.3">
      <c r="A17" s="98" t="s">
        <v>220</v>
      </c>
      <c r="B17" s="99"/>
      <c r="C17" s="99"/>
      <c r="H17" s="106">
        <f>SUM(H3:H16)</f>
        <v>664375.10000000009</v>
      </c>
      <c r="I17" s="106">
        <f>SUM(I3:I16)</f>
        <v>1294116.3800000001</v>
      </c>
      <c r="J17" s="106">
        <f>SUM(J3:J16)</f>
        <v>-629741.28000000014</v>
      </c>
    </row>
    <row r="18" spans="1:11" ht="15.6" thickTop="1" x14ac:dyDescent="0.25">
      <c r="A18" s="98"/>
      <c r="B18" s="99"/>
      <c r="C18" s="99"/>
      <c r="H18" s="57"/>
      <c r="I18" s="57"/>
      <c r="J18" s="57"/>
    </row>
    <row r="19" spans="1:11" x14ac:dyDescent="0.25">
      <c r="A19" s="96" t="s">
        <v>221</v>
      </c>
      <c r="B19" s="99"/>
      <c r="C19" s="99">
        <f>SUM(B20:B28)</f>
        <v>0</v>
      </c>
      <c r="H19" s="57"/>
      <c r="I19" s="57"/>
      <c r="J19" s="57"/>
    </row>
    <row r="20" spans="1:11" x14ac:dyDescent="0.25">
      <c r="A20" s="98" t="s">
        <v>212</v>
      </c>
      <c r="B20" s="99"/>
      <c r="C20" s="99"/>
    </row>
    <row r="21" spans="1:11" x14ac:dyDescent="0.25">
      <c r="A21" s="98" t="s">
        <v>213</v>
      </c>
      <c r="B21" s="99"/>
      <c r="C21" s="99"/>
    </row>
    <row r="22" spans="1:11" x14ac:dyDescent="0.25">
      <c r="A22" s="98" t="s">
        <v>214</v>
      </c>
      <c r="B22" s="99"/>
      <c r="C22" s="99"/>
      <c r="H22" s="124" t="s">
        <v>222</v>
      </c>
      <c r="I22" s="124" t="s">
        <v>223</v>
      </c>
      <c r="J22" s="124" t="s">
        <v>224</v>
      </c>
      <c r="K22" s="124" t="s">
        <v>225</v>
      </c>
    </row>
    <row r="23" spans="1:11" x14ac:dyDescent="0.25">
      <c r="A23" s="98" t="s">
        <v>215</v>
      </c>
      <c r="B23" s="99"/>
      <c r="C23" s="99"/>
      <c r="G23" s="102" t="s">
        <v>226</v>
      </c>
      <c r="H23" s="97">
        <v>0</v>
      </c>
      <c r="I23" s="97">
        <v>0</v>
      </c>
      <c r="J23" s="97">
        <f t="shared" ref="J23:J29" si="1">H23-I23</f>
        <v>0</v>
      </c>
      <c r="K23" s="97" t="s">
        <v>553</v>
      </c>
    </row>
    <row r="24" spans="1:11" x14ac:dyDescent="0.25">
      <c r="A24" s="98" t="s">
        <v>216</v>
      </c>
      <c r="B24" s="99"/>
      <c r="C24" s="99"/>
      <c r="G24" s="102" t="s">
        <v>228</v>
      </c>
      <c r="J24" s="97">
        <f t="shared" si="1"/>
        <v>0</v>
      </c>
    </row>
    <row r="25" spans="1:11" x14ac:dyDescent="0.25">
      <c r="A25" s="98" t="s">
        <v>217</v>
      </c>
      <c r="B25" s="99"/>
      <c r="C25" s="99"/>
      <c r="G25" s="102" t="s">
        <v>230</v>
      </c>
      <c r="J25" s="97">
        <f t="shared" si="1"/>
        <v>0</v>
      </c>
    </row>
    <row r="26" spans="1:11" x14ac:dyDescent="0.25">
      <c r="A26" s="98" t="s">
        <v>218</v>
      </c>
      <c r="B26" s="99"/>
      <c r="C26" s="99"/>
      <c r="G26" s="102" t="s">
        <v>232</v>
      </c>
      <c r="J26" s="97">
        <f t="shared" si="1"/>
        <v>0</v>
      </c>
    </row>
    <row r="27" spans="1:11" x14ac:dyDescent="0.25">
      <c r="A27" s="98" t="s">
        <v>219</v>
      </c>
      <c r="B27" s="99"/>
      <c r="C27" s="99"/>
      <c r="G27" s="102" t="s">
        <v>234</v>
      </c>
      <c r="J27" s="97">
        <f t="shared" si="1"/>
        <v>0</v>
      </c>
    </row>
    <row r="28" spans="1:11" x14ac:dyDescent="0.25">
      <c r="A28" s="98" t="s">
        <v>220</v>
      </c>
      <c r="B28" s="99"/>
      <c r="C28" s="99"/>
      <c r="G28" s="102" t="s">
        <v>236</v>
      </c>
      <c r="J28" s="97">
        <f t="shared" si="1"/>
        <v>0</v>
      </c>
    </row>
    <row r="29" spans="1:11" x14ac:dyDescent="0.25">
      <c r="A29" s="98"/>
      <c r="B29" s="99"/>
      <c r="C29" s="31"/>
      <c r="G29" s="102" t="s">
        <v>239</v>
      </c>
      <c r="J29" s="97">
        <f t="shared" si="1"/>
        <v>0</v>
      </c>
    </row>
    <row r="30" spans="1:11" x14ac:dyDescent="0.25">
      <c r="A30" s="96" t="s">
        <v>238</v>
      </c>
      <c r="B30" s="99"/>
      <c r="C30" s="99">
        <v>0</v>
      </c>
    </row>
    <row r="31" spans="1:11" x14ac:dyDescent="0.25">
      <c r="H31" s="97">
        <f>SUM(H23:H30)</f>
        <v>0</v>
      </c>
      <c r="I31" s="97">
        <f>SUM(I23:I30)</f>
        <v>0</v>
      </c>
      <c r="J31" s="97">
        <f>SUM(J23:J30)</f>
        <v>0</v>
      </c>
      <c r="K31" s="97">
        <f>SUM(K23:K29)</f>
        <v>0</v>
      </c>
    </row>
    <row r="32" spans="1:11" x14ac:dyDescent="0.25">
      <c r="A32" s="100" t="s">
        <v>199</v>
      </c>
    </row>
    <row r="33" spans="1:8" x14ac:dyDescent="0.25">
      <c r="H33" s="97">
        <f>C8+C19-C6</f>
        <v>0</v>
      </c>
    </row>
    <row r="34" spans="1:8" x14ac:dyDescent="0.25">
      <c r="A34" s="100" t="s">
        <v>261</v>
      </c>
    </row>
    <row r="35" spans="1:8" x14ac:dyDescent="0.25">
      <c r="H35" s="97">
        <f>H31-H33</f>
        <v>0</v>
      </c>
    </row>
    <row r="51" spans="4:14" x14ac:dyDescent="0.25">
      <c r="D51" s="97">
        <f>C8+C19+C30</f>
        <v>0</v>
      </c>
      <c r="G51" s="212" t="s">
        <v>258</v>
      </c>
      <c r="H51" s="212"/>
      <c r="J51" s="213" t="s">
        <v>259</v>
      </c>
      <c r="K51" s="213"/>
      <c r="M51" s="109" t="s">
        <v>260</v>
      </c>
    </row>
    <row r="52" spans="4:14" x14ac:dyDescent="0.25">
      <c r="G52" s="97" t="s">
        <v>262</v>
      </c>
      <c r="H52" s="97">
        <v>718</v>
      </c>
      <c r="J52" s="97" t="s">
        <v>263</v>
      </c>
      <c r="K52" s="97">
        <v>100</v>
      </c>
      <c r="M52" s="31" t="s">
        <v>264</v>
      </c>
      <c r="N52" s="109"/>
    </row>
    <row r="53" spans="4:14" x14ac:dyDescent="0.25">
      <c r="E53" s="101">
        <f>D51-D3</f>
        <v>-729973.13550000009</v>
      </c>
      <c r="G53" s="97" t="s">
        <v>265</v>
      </c>
      <c r="H53" s="97">
        <f>107.7+14.36</f>
        <v>122.06</v>
      </c>
      <c r="J53" s="97" t="s">
        <v>266</v>
      </c>
      <c r="K53" s="97">
        <v>100</v>
      </c>
      <c r="M53" s="31" t="s">
        <v>267</v>
      </c>
      <c r="N53" s="97">
        <v>3671.58</v>
      </c>
    </row>
    <row r="54" spans="4:14" x14ac:dyDescent="0.25">
      <c r="G54" s="97" t="s">
        <v>268</v>
      </c>
      <c r="H54" s="97">
        <v>0</v>
      </c>
      <c r="M54" s="31" t="s">
        <v>269</v>
      </c>
      <c r="N54" s="97">
        <v>200</v>
      </c>
    </row>
    <row r="55" spans="4:14" x14ac:dyDescent="0.25">
      <c r="M55" s="31" t="s">
        <v>270</v>
      </c>
      <c r="N55" s="97">
        <v>375</v>
      </c>
    </row>
    <row r="56" spans="4:14" x14ac:dyDescent="0.25">
      <c r="N56" s="97">
        <v>3291.76</v>
      </c>
    </row>
    <row r="57" spans="4:14" x14ac:dyDescent="0.25">
      <c r="G57" s="107" t="s">
        <v>271</v>
      </c>
      <c r="H57" s="108">
        <f>SUM(H52:H56)</f>
        <v>840.06</v>
      </c>
      <c r="J57" s="107" t="s">
        <v>271</v>
      </c>
      <c r="K57" s="108">
        <f>SUM(K52:K56)</f>
        <v>200</v>
      </c>
      <c r="M57" s="107" t="s">
        <v>271</v>
      </c>
    </row>
    <row r="58" spans="4:14" x14ac:dyDescent="0.25">
      <c r="N58" s="108">
        <f>SUM(N53:N57)</f>
        <v>7538.34</v>
      </c>
    </row>
    <row r="60" spans="4:14" x14ac:dyDescent="0.25">
      <c r="G60" s="213" t="s">
        <v>272</v>
      </c>
      <c r="H60" s="213"/>
      <c r="J60" s="213" t="s">
        <v>273</v>
      </c>
      <c r="K60" s="213"/>
    </row>
    <row r="61" spans="4:14" x14ac:dyDescent="0.25">
      <c r="G61" s="97" t="s">
        <v>274</v>
      </c>
      <c r="H61" s="97">
        <v>749</v>
      </c>
      <c r="J61" s="97" t="s">
        <v>275</v>
      </c>
      <c r="K61" s="97">
        <f>749*3</f>
        <v>2247</v>
      </c>
    </row>
    <row r="62" spans="4:14" x14ac:dyDescent="0.25">
      <c r="G62" s="97" t="s">
        <v>276</v>
      </c>
      <c r="H62" s="97">
        <v>749</v>
      </c>
    </row>
    <row r="63" spans="4:14" x14ac:dyDescent="0.25">
      <c r="G63" s="97" t="s">
        <v>277</v>
      </c>
      <c r="H63" s="97">
        <v>1382.94</v>
      </c>
    </row>
    <row r="64" spans="4:14" x14ac:dyDescent="0.25">
      <c r="G64" s="97" t="s">
        <v>278</v>
      </c>
      <c r="H64" s="97">
        <v>1282.32</v>
      </c>
    </row>
    <row r="66" spans="7:11" x14ac:dyDescent="0.25">
      <c r="G66" s="107" t="s">
        <v>271</v>
      </c>
      <c r="H66" s="108">
        <f>SUM(H60:H65)</f>
        <v>4163.26</v>
      </c>
      <c r="J66" s="107" t="s">
        <v>271</v>
      </c>
      <c r="K66" s="108">
        <f>SUM(K60:K65)</f>
        <v>2247</v>
      </c>
    </row>
  </sheetData>
  <mergeCells count="4">
    <mergeCell ref="G51:H51"/>
    <mergeCell ref="J51:K51"/>
    <mergeCell ref="G60:H60"/>
    <mergeCell ref="J60:K60"/>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02071B-1223-40CA-AA8C-6ABD0D303357}">
  <dimension ref="A1"/>
  <sheetViews>
    <sheetView workbookViewId="0"/>
  </sheetViews>
  <sheetFormatPr defaultColWidth="8.88671875" defaultRowHeight="14.4" x14ac:dyDescent="0.3"/>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84ACBF9BC163047B65D1E90EBE8C817" ma:contentTypeVersion="16" ma:contentTypeDescription="Create a new document." ma:contentTypeScope="" ma:versionID="4c7a34195d5445885513a4c3412f7b95">
  <xsd:schema xmlns:xsd="http://www.w3.org/2001/XMLSchema" xmlns:xs="http://www.w3.org/2001/XMLSchema" xmlns:p="http://schemas.microsoft.com/office/2006/metadata/properties" xmlns:ns2="aef335e2-4e6a-4000-9328-42ff2c479acb" xmlns:ns3="87fd4b6c-c125-4ed5-aa7d-3b310bb4595f" targetNamespace="http://schemas.microsoft.com/office/2006/metadata/properties" ma:root="true" ma:fieldsID="ab97666f4bab84099c6dfc6a38f5341b" ns2:_="" ns3:_="">
    <xsd:import namespace="aef335e2-4e6a-4000-9328-42ff2c479acb"/>
    <xsd:import namespace="87fd4b6c-c125-4ed5-aa7d-3b310bb4595f"/>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SearchProperties" minOccurs="0"/>
                <xsd:element ref="ns2:MediaServiceDateTaken"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ef335e2-4e6a-4000-9328-42ff2c479ac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1cecd378-c5e6-46ce-a7ae-e51333eb797b"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7fd4b6c-c125-4ed5-aa7d-3b310bb4595f"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15" nillable="true" ma:displayName="Taxonomy Catch All Column" ma:hidden="true" ma:list="{4565dd79-8e25-4c54-8a55-aac5f3d5c474}" ma:internalName="TaxCatchAll" ma:showField="CatchAllData" ma:web="87fd4b6c-c125-4ed5-aa7d-3b310bb4595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aef335e2-4e6a-4000-9328-42ff2c479acb">
      <Terms xmlns="http://schemas.microsoft.com/office/infopath/2007/PartnerControls"/>
    </lcf76f155ced4ddcb4097134ff3c332f>
    <TaxCatchAll xmlns="87fd4b6c-c125-4ed5-aa7d-3b310bb4595f" xsi:nil="true"/>
  </documentManagement>
</p:properties>
</file>

<file path=customXml/itemProps1.xml><?xml version="1.0" encoding="utf-8"?>
<ds:datastoreItem xmlns:ds="http://schemas.openxmlformats.org/officeDocument/2006/customXml" ds:itemID="{299855F0-193C-4FFF-BE8E-6361A6495FA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ef335e2-4e6a-4000-9328-42ff2c479acb"/>
    <ds:schemaRef ds:uri="87fd4b6c-c125-4ed5-aa7d-3b310bb4595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38F3B0C-158A-4861-94BC-89FDF9F5C143}">
  <ds:schemaRefs>
    <ds:schemaRef ds:uri="http://schemas.microsoft.com/sharepoint/v3/contenttype/forms"/>
  </ds:schemaRefs>
</ds:datastoreItem>
</file>

<file path=customXml/itemProps3.xml><?xml version="1.0" encoding="utf-8"?>
<ds:datastoreItem xmlns:ds="http://schemas.openxmlformats.org/officeDocument/2006/customXml" ds:itemID="{916FCDE7-B7EF-4A4A-B1B0-C683227CDF1C}">
  <ds:schemaRefs>
    <ds:schemaRef ds:uri="http://schemas.microsoft.com/office/2006/metadata/properties"/>
    <ds:schemaRef ds:uri="http://schemas.microsoft.com/office/infopath/2007/PartnerControls"/>
    <ds:schemaRef ds:uri="aef335e2-4e6a-4000-9328-42ff2c479acb"/>
    <ds:schemaRef ds:uri="87fd4b6c-c125-4ed5-aa7d-3b310bb4595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2</vt:i4>
      </vt:variant>
    </vt:vector>
  </HeadingPairs>
  <TitlesOfParts>
    <vt:vector size="11" baseType="lpstr">
      <vt:lpstr>Overview</vt:lpstr>
      <vt:lpstr>2024 Details</vt:lpstr>
      <vt:lpstr>2024 Actuals</vt:lpstr>
      <vt:lpstr>2024 Condensed</vt:lpstr>
      <vt:lpstr>Comparison</vt:lpstr>
      <vt:lpstr>2026 Details</vt:lpstr>
      <vt:lpstr>2025 Details</vt:lpstr>
      <vt:lpstr>2025 Actuals</vt:lpstr>
      <vt:lpstr>2025 Condensed</vt:lpstr>
      <vt:lpstr>'2024 Details'!Print_Area</vt:lpstr>
      <vt:lpstr>'2024 Details'!Print_Titles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Juan Robledo</dc:creator>
  <cp:keywords/>
  <dc:description/>
  <cp:lastModifiedBy>Caryn De La Torre</cp:lastModifiedBy>
  <cp:revision/>
  <dcterms:created xsi:type="dcterms:W3CDTF">2023-09-06T17:43:50Z</dcterms:created>
  <dcterms:modified xsi:type="dcterms:W3CDTF">2026-03-29T22:54:00Z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0x010100284ACBF9BC163047B65D1E90EBE8C817</vt:lpwstr>
  </property>
  <property fmtid="{D5CDD505-2E9C-101B-9397-08002B2CF9AE}" pid="3" name="MediaServiceImageTags">
    <vt:lpwstr/>
  </property>
</Properties>
</file>